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8FB2357-4D4E-409A-8B22-308693393D59}" xr6:coauthVersionLast="36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2" l="1"/>
  <c r="F104" i="2"/>
  <c r="F103" i="2"/>
  <c r="F98" i="2"/>
  <c r="F96" i="2"/>
  <c r="E90" i="2"/>
  <c r="E84" i="2"/>
  <c r="E81" i="2"/>
  <c r="E80" i="2"/>
  <c r="E91" i="2" s="1"/>
  <c r="E79" i="2"/>
  <c r="E78" i="2"/>
  <c r="E76" i="2"/>
  <c r="E75" i="2"/>
  <c r="E74" i="2"/>
  <c r="E73" i="2"/>
  <c r="E70" i="2"/>
  <c r="E69" i="2"/>
  <c r="E68" i="2"/>
  <c r="E67" i="2"/>
  <c r="E65" i="2"/>
  <c r="E64" i="2"/>
  <c r="E63" i="2"/>
  <c r="E62" i="2"/>
  <c r="E66" i="2" s="1"/>
  <c r="E92" i="2" l="1"/>
  <c r="E77" i="2"/>
  <c r="E82" i="2" s="1"/>
  <c r="E85" i="2" s="1"/>
  <c r="E71" i="2"/>
  <c r="E87" i="2" s="1"/>
  <c r="E88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13" i="2" s="1"/>
  <c r="E6" i="2"/>
  <c r="E5" i="2"/>
  <c r="E4" i="2"/>
  <c r="C7" i="1"/>
  <c r="D91" i="2"/>
  <c r="D90" i="2"/>
  <c r="D92" i="2" s="1"/>
  <c r="F91" i="2"/>
  <c r="C10" i="1" s="1"/>
  <c r="F90" i="2"/>
  <c r="F87" i="2"/>
  <c r="F88" i="2" s="1"/>
  <c r="C35" i="1" s="1"/>
  <c r="D77" i="2"/>
  <c r="D82" i="2" s="1"/>
  <c r="D85" i="2" s="1"/>
  <c r="D66" i="2"/>
  <c r="D71" i="2" s="1"/>
  <c r="D87" i="2" s="1"/>
  <c r="D88" i="2" s="1"/>
  <c r="F77" i="2"/>
  <c r="F82" i="2" s="1"/>
  <c r="F85" i="2" s="1"/>
  <c r="F66" i="2"/>
  <c r="F71" i="2" s="1"/>
  <c r="F57" i="2"/>
  <c r="D50" i="2"/>
  <c r="F50" i="2"/>
  <c r="C27" i="1" s="1"/>
  <c r="F33" i="2"/>
  <c r="F32" i="2"/>
  <c r="F31" i="2"/>
  <c r="D7" i="2"/>
  <c r="E7" i="2" s="1"/>
  <c r="F39" i="2"/>
  <c r="F38" i="2"/>
  <c r="F37" i="2"/>
  <c r="F36" i="2"/>
  <c r="F30" i="2"/>
  <c r="D13" i="2"/>
  <c r="D15" i="2" s="1"/>
  <c r="F13" i="2"/>
  <c r="F15" i="2" s="1"/>
  <c r="D11" i="1"/>
  <c r="D10" i="1"/>
  <c r="D9" i="1"/>
  <c r="D7" i="1"/>
  <c r="J91" i="2"/>
  <c r="J92" i="2" s="1"/>
  <c r="I91" i="2"/>
  <c r="J90" i="2"/>
  <c r="I90" i="2"/>
  <c r="K91" i="2"/>
  <c r="K92" i="2" s="1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D20" i="2" l="1"/>
  <c r="D42" i="2"/>
  <c r="F20" i="2"/>
  <c r="F42" i="2"/>
  <c r="C36" i="1"/>
  <c r="E15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D23" i="2" l="1"/>
  <c r="D43" i="2"/>
  <c r="E20" i="2"/>
  <c r="E42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K23" i="2"/>
  <c r="K43" i="2"/>
  <c r="J23" i="2"/>
  <c r="J43" i="2"/>
  <c r="I23" i="2"/>
  <c r="I43" i="2"/>
  <c r="C8" i="1"/>
  <c r="C11" i="1"/>
  <c r="C12" i="1" s="1"/>
  <c r="I25" i="2" l="1"/>
  <c r="I45" i="2"/>
  <c r="J25" i="2"/>
  <c r="J45" i="2"/>
  <c r="K25" i="2"/>
  <c r="K45" i="2"/>
  <c r="C39" i="1" l="1"/>
  <c r="C37" i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<sst xmlns="http://schemas.openxmlformats.org/spreadsheetml/2006/main" count="191" uniqueCount="154">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</sst>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topLeftCell="B4" workbookViewId="0">
      <selection activeCell="G29" sqref="G29"/>
    </sheetView>
  </sheetViews>
  <sheetFormatPr defaultRowHeight="12.75" x14ac:dyDescent="0.2"/>
  <cols>
    <col min="1" max="16384" width="9.140625" style="1"/>
  </cols>
  <sheetData>
    <row r="2" spans="1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1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1:24" x14ac:dyDescent="0.2">
      <c r="B5" s="86" t="s">
        <v>2</v>
      </c>
      <c r="C5" s="87"/>
      <c r="D5" s="88"/>
      <c r="G5" s="86" t="s">
        <v>10</v>
      </c>
      <c r="H5" s="87"/>
      <c r="I5" s="87"/>
      <c r="J5" s="87"/>
      <c r="K5" s="87"/>
      <c r="L5" s="87"/>
      <c r="M5" s="87"/>
      <c r="N5" s="88"/>
      <c r="Q5" s="92" t="s">
        <v>38</v>
      </c>
      <c r="R5" s="92"/>
      <c r="S5" s="92"/>
      <c r="T5" s="92"/>
      <c r="X5" s="25" t="s">
        <v>29</v>
      </c>
    </row>
    <row r="6" spans="1:24" x14ac:dyDescent="0.2">
      <c r="B6" s="3" t="s">
        <v>3</v>
      </c>
      <c r="C6" s="1">
        <v>3.7120000000000002</v>
      </c>
      <c r="D6" s="13"/>
      <c r="G6" s="7"/>
      <c r="H6" s="62"/>
      <c r="I6" s="62"/>
      <c r="J6" s="62"/>
      <c r="K6" s="62"/>
      <c r="L6" s="62"/>
      <c r="M6" s="62"/>
      <c r="N6" s="60"/>
      <c r="Q6" s="81" t="s">
        <v>39</v>
      </c>
      <c r="R6" s="81"/>
      <c r="S6" s="81"/>
      <c r="T6" s="81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1:24" x14ac:dyDescent="0.2">
      <c r="B8" s="3" t="s">
        <v>5</v>
      </c>
      <c r="C8" s="15">
        <f>C6*C7</f>
        <v>717.95913408000001</v>
      </c>
      <c r="D8" s="13"/>
      <c r="G8" s="7"/>
      <c r="H8" s="62"/>
      <c r="I8" s="62"/>
      <c r="J8" s="62"/>
      <c r="K8" s="62"/>
      <c r="L8" s="62"/>
      <c r="M8" s="62"/>
      <c r="N8" s="60"/>
      <c r="Q8" s="1" t="s">
        <v>45</v>
      </c>
      <c r="T8" s="1">
        <v>2024</v>
      </c>
      <c r="U8" s="48" t="s">
        <v>149</v>
      </c>
    </row>
    <row r="9" spans="1:24" x14ac:dyDescent="0.2">
      <c r="B9" s="3" t="s">
        <v>6</v>
      </c>
      <c r="C9" s="15">
        <f>+'Financial Model'!F90*$C$13</f>
        <v>30.704000000000001</v>
      </c>
      <c r="D9" s="13" t="str">
        <f t="shared" ref="D9:D11" si="0">+$C$30</f>
        <v>H124</v>
      </c>
      <c r="G9" s="61">
        <v>45536</v>
      </c>
      <c r="H9" s="62" t="s">
        <v>11</v>
      </c>
      <c r="I9" s="62"/>
      <c r="J9" s="62"/>
      <c r="K9" s="62"/>
      <c r="L9" s="62"/>
      <c r="M9" s="62"/>
      <c r="N9" s="60"/>
      <c r="Q9" s="1" t="s">
        <v>46</v>
      </c>
    </row>
    <row r="10" spans="1:24" x14ac:dyDescent="0.2">
      <c r="B10" s="3" t="s">
        <v>7</v>
      </c>
      <c r="C10" s="15">
        <f>+'Financial Model'!F91*$C$13</f>
        <v>4.4079999999999995</v>
      </c>
      <c r="D10" s="13" t="str">
        <f t="shared" si="0"/>
        <v>H124</v>
      </c>
      <c r="G10" s="7"/>
      <c r="H10" s="62"/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15">
        <f>C9-C10</f>
        <v>26.295999999999999</v>
      </c>
      <c r="D11" s="13" t="str">
        <f t="shared" si="0"/>
        <v>H124</v>
      </c>
      <c r="G11" s="61">
        <v>45505</v>
      </c>
      <c r="H11" s="62" t="s">
        <v>12</v>
      </c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1:24" x14ac:dyDescent="0.2">
      <c r="B12" s="4" t="s">
        <v>9</v>
      </c>
      <c r="C12" s="16">
        <f>C8-C11</f>
        <v>691.66313407999996</v>
      </c>
      <c r="D12" s="14"/>
      <c r="G12" s="7"/>
      <c r="H12" s="62"/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1:24" x14ac:dyDescent="0.2">
      <c r="B13" s="57" t="s">
        <v>94</v>
      </c>
      <c r="C13" s="58">
        <v>0.76</v>
      </c>
      <c r="D13" s="56"/>
      <c r="G13" s="61">
        <v>45444</v>
      </c>
      <c r="H13" s="62" t="s">
        <v>36</v>
      </c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1:24" x14ac:dyDescent="0.2">
      <c r="G14" s="7"/>
      <c r="H14" s="62"/>
      <c r="I14" s="62"/>
      <c r="J14" s="62"/>
      <c r="K14" s="62"/>
      <c r="L14" s="62"/>
      <c r="M14" s="62"/>
      <c r="N14" s="60"/>
      <c r="Q14" s="1" t="s">
        <v>126</v>
      </c>
    </row>
    <row r="15" spans="1:24" x14ac:dyDescent="0.2">
      <c r="B15" s="86" t="s">
        <v>13</v>
      </c>
      <c r="C15" s="87"/>
      <c r="D15" s="88"/>
      <c r="G15" s="7"/>
      <c r="H15" s="62"/>
      <c r="I15" s="62"/>
      <c r="J15" s="62"/>
      <c r="K15" s="62"/>
      <c r="L15" s="62"/>
      <c r="M15" s="62"/>
      <c r="N15" s="60"/>
    </row>
    <row r="16" spans="1:24" x14ac:dyDescent="0.2">
      <c r="A16" s="79" t="s">
        <v>151</v>
      </c>
      <c r="B16" s="5" t="s">
        <v>14</v>
      </c>
      <c r="C16" s="82" t="s">
        <v>150</v>
      </c>
      <c r="D16" s="83"/>
      <c r="G16" s="7"/>
      <c r="H16" s="62"/>
      <c r="I16" s="62"/>
      <c r="J16" s="62"/>
      <c r="K16" s="62"/>
      <c r="L16" s="62"/>
      <c r="M16" s="62"/>
      <c r="N16" s="60"/>
      <c r="Q16" s="81" t="s">
        <v>40</v>
      </c>
      <c r="R16" s="81"/>
      <c r="S16" s="81"/>
      <c r="T16" s="81"/>
    </row>
    <row r="17" spans="2:24" x14ac:dyDescent="0.2">
      <c r="B17" s="5" t="s">
        <v>15</v>
      </c>
      <c r="C17" s="82"/>
      <c r="D17" s="83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82"/>
      <c r="D18" s="83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93"/>
      <c r="D19" s="94"/>
      <c r="G19" s="7">
        <v>2012</v>
      </c>
      <c r="H19" s="62" t="s">
        <v>132</v>
      </c>
      <c r="I19" s="62"/>
      <c r="J19" s="62"/>
      <c r="K19" s="62"/>
      <c r="L19" s="62"/>
      <c r="M19" s="62"/>
      <c r="N19" s="60"/>
      <c r="Q19" s="1" t="s">
        <v>43</v>
      </c>
      <c r="W19" s="42" t="s">
        <v>152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W20" s="80" t="s">
        <v>153</v>
      </c>
      <c r="X20" s="42"/>
    </row>
    <row r="21" spans="2:24" x14ac:dyDescent="0.2">
      <c r="G21" s="7">
        <v>2009</v>
      </c>
      <c r="H21" s="62" t="s">
        <v>131</v>
      </c>
      <c r="I21" s="62"/>
      <c r="J21" s="62"/>
      <c r="K21" s="62"/>
      <c r="L21" s="62"/>
      <c r="M21" s="62"/>
      <c r="N21" s="60"/>
      <c r="X21" s="42"/>
    </row>
    <row r="22" spans="2:24" x14ac:dyDescent="0.2">
      <c r="B22" s="86" t="s">
        <v>18</v>
      </c>
      <c r="C22" s="87"/>
      <c r="D22" s="88"/>
      <c r="G22" s="8"/>
      <c r="H22" s="23"/>
      <c r="I22" s="23"/>
      <c r="J22" s="23"/>
      <c r="K22" s="23"/>
      <c r="L22" s="23"/>
      <c r="M22" s="23"/>
      <c r="N22" s="24"/>
      <c r="Q22" s="81" t="s">
        <v>75</v>
      </c>
      <c r="R22" s="81"/>
      <c r="S22" s="81"/>
      <c r="T22" s="81"/>
    </row>
    <row r="23" spans="2:24" x14ac:dyDescent="0.2">
      <c r="B23" s="7" t="s">
        <v>19</v>
      </c>
      <c r="C23" s="82" t="s">
        <v>27</v>
      </c>
      <c r="D23" s="83"/>
      <c r="Q23" s="1" t="s">
        <v>144</v>
      </c>
    </row>
    <row r="24" spans="2:24" x14ac:dyDescent="0.2">
      <c r="B24" s="7" t="s">
        <v>20</v>
      </c>
      <c r="C24" s="82">
        <v>2012</v>
      </c>
      <c r="D24" s="83"/>
      <c r="E24" s="48" t="s">
        <v>130</v>
      </c>
      <c r="Q24" s="1" t="s">
        <v>145</v>
      </c>
    </row>
    <row r="25" spans="2:24" x14ac:dyDescent="0.2">
      <c r="B25" s="7" t="s">
        <v>21</v>
      </c>
      <c r="C25" s="89">
        <v>45444</v>
      </c>
      <c r="D25" s="83"/>
      <c r="Q25" s="1" t="s">
        <v>146</v>
      </c>
    </row>
    <row r="26" spans="2:24" x14ac:dyDescent="0.2">
      <c r="B26" s="7"/>
      <c r="C26" s="82"/>
      <c r="D26" s="83"/>
    </row>
    <row r="27" spans="2:24" x14ac:dyDescent="0.2">
      <c r="B27" s="7" t="s">
        <v>26</v>
      </c>
      <c r="C27" s="82">
        <f>+'Financial Model'!F50</f>
        <v>115</v>
      </c>
      <c r="D27" s="83"/>
    </row>
    <row r="28" spans="2:24" x14ac:dyDescent="0.2">
      <c r="B28" s="7"/>
      <c r="C28" s="9"/>
      <c r="D28" s="10"/>
      <c r="G28" s="38"/>
      <c r="Q28" s="81" t="s">
        <v>77</v>
      </c>
      <c r="R28" s="81"/>
      <c r="S28" s="81"/>
      <c r="T28" s="81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3">
        <v>45559</v>
      </c>
      <c r="Q30" s="1" t="s">
        <v>148</v>
      </c>
    </row>
    <row r="31" spans="2:24" x14ac:dyDescent="0.2">
      <c r="B31" s="8" t="s">
        <v>23</v>
      </c>
      <c r="C31" s="84" t="s">
        <v>37</v>
      </c>
      <c r="D31" s="85"/>
    </row>
    <row r="34" spans="2:4" x14ac:dyDescent="0.2">
      <c r="B34" s="86" t="s">
        <v>24</v>
      </c>
      <c r="C34" s="87"/>
      <c r="D34" s="88"/>
    </row>
    <row r="35" spans="2:4" x14ac:dyDescent="0.2">
      <c r="B35" s="7" t="s">
        <v>89</v>
      </c>
      <c r="C35" s="90">
        <f>C6/'Financial Model'!F88</f>
        <v>3.5613052285714284</v>
      </c>
      <c r="D35" s="91"/>
    </row>
    <row r="36" spans="2:4" x14ac:dyDescent="0.2">
      <c r="B36" s="7" t="s">
        <v>90</v>
      </c>
      <c r="C36" s="90">
        <f>C6/(SUM('Financial Model'!E13:F13)*Main!C13)</f>
        <v>1.5239489063285427E-2</v>
      </c>
      <c r="D36" s="91"/>
    </row>
    <row r="37" spans="2:4" x14ac:dyDescent="0.2">
      <c r="B37" s="7" t="s">
        <v>92</v>
      </c>
      <c r="C37" s="90">
        <f>+C12/('Financial Model'!K13*Main!C13)</f>
        <v>3.4239779649803972</v>
      </c>
      <c r="D37" s="91"/>
    </row>
    <row r="38" spans="2:4" x14ac:dyDescent="0.2">
      <c r="B38" s="7" t="s">
        <v>91</v>
      </c>
      <c r="C38" s="90">
        <f>+C6/('Financial Model'!K26*Main!C13)</f>
        <v>17.20735895230284</v>
      </c>
      <c r="D38" s="91"/>
    </row>
    <row r="39" spans="2:4" x14ac:dyDescent="0.2">
      <c r="B39" s="7" t="s">
        <v>93</v>
      </c>
      <c r="C39" s="90">
        <f>C12/('Financial Model'!K25*Main!C13)</f>
        <v>28.825638893889984</v>
      </c>
      <c r="D39" s="91"/>
    </row>
    <row r="40" spans="2:4" x14ac:dyDescent="0.2">
      <c r="B40" s="7"/>
      <c r="C40" s="9"/>
      <c r="D40" s="10"/>
    </row>
    <row r="41" spans="2:4" x14ac:dyDescent="0.2">
      <c r="B41" s="7"/>
      <c r="C41" s="9"/>
      <c r="D41" s="10"/>
    </row>
    <row r="42" spans="2:4" x14ac:dyDescent="0.2">
      <c r="B42" s="8"/>
      <c r="C42" s="11"/>
      <c r="D42" s="12"/>
    </row>
  </sheetData>
  <mergeCells count="25"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7" sqref="D27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73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66" customFormat="1" x14ac:dyDescent="0.2">
      <c r="A2" s="65"/>
      <c r="D2" s="68">
        <v>45107</v>
      </c>
      <c r="E2" s="67" t="str">
        <f>K2</f>
        <v>31/12/023</v>
      </c>
      <c r="F2" s="68">
        <v>45473</v>
      </c>
      <c r="G2" s="67"/>
      <c r="I2" s="68">
        <v>44561</v>
      </c>
      <c r="J2" s="68">
        <v>44926</v>
      </c>
      <c r="K2" s="66" t="s">
        <v>62</v>
      </c>
    </row>
    <row r="3" spans="1:13" s="17" customFormat="1" x14ac:dyDescent="0.2">
      <c r="A3" s="18"/>
      <c r="E3" s="28"/>
      <c r="F3" s="64">
        <v>45559</v>
      </c>
      <c r="G3" s="28"/>
    </row>
    <row r="4" spans="1:13" s="49" customFormat="1" x14ac:dyDescent="0.2">
      <c r="B4" s="50" t="s">
        <v>80</v>
      </c>
      <c r="D4" s="52">
        <v>27</v>
      </c>
      <c r="E4" s="75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75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75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75">
        <f>K7-D7</f>
        <v>36.352000000000004</v>
      </c>
      <c r="F7" s="71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75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75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75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75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69" customFormat="1" x14ac:dyDescent="0.2">
      <c r="B13" s="69" t="s">
        <v>47</v>
      </c>
      <c r="D13" s="69">
        <f>SUM(D9:D12)</f>
        <v>89.299999999999983</v>
      </c>
      <c r="E13" s="70">
        <f>SUM(E9:E12)</f>
        <v>176.49700000000001</v>
      </c>
      <c r="F13" s="69">
        <f>SUM(F9:F12)</f>
        <v>144</v>
      </c>
      <c r="G13" s="70"/>
      <c r="I13" s="69">
        <v>140.58699999999999</v>
      </c>
      <c r="J13" s="69">
        <v>187.85900000000001</v>
      </c>
      <c r="K13" s="69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76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76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76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72">
        <v>103.102</v>
      </c>
      <c r="J27" s="72">
        <v>109.931</v>
      </c>
      <c r="K27" s="72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77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77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77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77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 t="shared" ref="E50:E56" si="14"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 t="shared" si="14"/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 t="shared" si="14"/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74" t="s">
        <v>66</v>
      </c>
      <c r="E53" s="45">
        <f t="shared" si="14"/>
        <v>11</v>
      </c>
      <c r="F53" s="74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 t="shared" si="14"/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 t="shared" si="14"/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 t="shared" si="14"/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E62" s="40">
        <f>+K62</f>
        <v>58.634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E63" s="40">
        <f>+K63</f>
        <v>5.0780000000000003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E64" s="40">
        <f>+K64</f>
        <v>6.7190000000000003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E65" s="40">
        <f>+K65</f>
        <v>2.698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5">+SUM(D62:D65)</f>
        <v>50.9</v>
      </c>
      <c r="E66" s="40">
        <f t="shared" si="15"/>
        <v>73.128999999999991</v>
      </c>
      <c r="F66" s="33">
        <f t="shared" si="15"/>
        <v>78.7</v>
      </c>
      <c r="I66" s="33">
        <f t="shared" ref="I66:J66" si="16">+SUM(I62:I65)</f>
        <v>31.044999999999998</v>
      </c>
      <c r="J66" s="33">
        <f t="shared" si="16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6">
        <f>+K67</f>
        <v>108.057</v>
      </c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E68" s="40">
        <f>+K68</f>
        <v>39.76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40">
        <f>+K69</f>
        <v>42.207000000000001</v>
      </c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E70" s="40">
        <f>+K70</f>
        <v>2.2010000000000001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7">+D66+SUM(D67:D70)</f>
        <v>183.5</v>
      </c>
      <c r="E71" s="40">
        <f t="shared" si="17"/>
        <v>265.35399999999998</v>
      </c>
      <c r="F71" s="33">
        <f t="shared" si="17"/>
        <v>296.8</v>
      </c>
      <c r="I71" s="33">
        <f t="shared" ref="I71:J71" si="18">+I66+SUM(I67:I70)</f>
        <v>126.78400000000001</v>
      </c>
      <c r="J71" s="33">
        <f t="shared" si="18"/>
        <v>147.40199999999999</v>
      </c>
      <c r="K71" s="33">
        <f>+K66+SUM(K67:K70)</f>
        <v>265.35399999999998</v>
      </c>
    </row>
    <row r="72" spans="2:11" x14ac:dyDescent="0.2">
      <c r="E72" s="40"/>
      <c r="I72" s="33"/>
      <c r="J72" s="33"/>
      <c r="K72" s="33"/>
    </row>
    <row r="73" spans="2:11" x14ac:dyDescent="0.2">
      <c r="B73" s="1" t="s">
        <v>114</v>
      </c>
      <c r="D73" s="1">
        <v>46.3</v>
      </c>
      <c r="E73" s="40">
        <f>+K73</f>
        <v>81.19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E74" s="40">
        <f>+K74</f>
        <v>0.44500000000000001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E75" s="40">
        <f>+K75</f>
        <v>1.252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E76" s="40">
        <f>+K76</f>
        <v>0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9">SUM(D73:D76)</f>
        <v>48.6</v>
      </c>
      <c r="E77" s="40">
        <f t="shared" si="19"/>
        <v>82.886999999999986</v>
      </c>
      <c r="F77" s="33">
        <f t="shared" si="19"/>
        <v>72.7</v>
      </c>
      <c r="I77" s="33">
        <f t="shared" ref="I77:J77" si="20">SUM(I73:I76)</f>
        <v>23.097999999999999</v>
      </c>
      <c r="J77" s="33">
        <f t="shared" si="20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E78" s="40">
        <f>+K78</f>
        <v>5.8280000000000003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E79" s="40">
        <f>+K79</f>
        <v>10.244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E80" s="40">
        <f>+K80</f>
        <v>6.4249999999999998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E81" s="40">
        <f>+K81</f>
        <v>0.75600000000000001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1">SUM(D77:D81)</f>
        <v>62.2</v>
      </c>
      <c r="E82" s="76">
        <f t="shared" si="21"/>
        <v>106.13999999999999</v>
      </c>
      <c r="F82" s="32">
        <f t="shared" si="21"/>
        <v>95.199999999999989</v>
      </c>
      <c r="G82" s="30"/>
      <c r="I82" s="32">
        <f t="shared" ref="I82:J82" si="22">SUM(I77:I81)</f>
        <v>31.262999999999998</v>
      </c>
      <c r="J82" s="32">
        <f t="shared" si="22"/>
        <v>40.251000000000005</v>
      </c>
      <c r="K82" s="32">
        <f>SUM(K77:K81)</f>
        <v>106.13999999999999</v>
      </c>
    </row>
    <row r="83" spans="2:11" x14ac:dyDescent="0.2">
      <c r="E83" s="40"/>
      <c r="I83" s="33"/>
      <c r="J83" s="33"/>
      <c r="K83" s="33"/>
    </row>
    <row r="84" spans="2:11" x14ac:dyDescent="0.2">
      <c r="B84" s="1" t="s">
        <v>125</v>
      </c>
      <c r="D84" s="1">
        <v>121.3</v>
      </c>
      <c r="E84" s="40">
        <f>+K84</f>
        <v>159.214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E85" s="40">
        <f>+E84+E82</f>
        <v>265.35399999999998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E86" s="40"/>
      <c r="I86" s="33"/>
      <c r="K86" s="33"/>
    </row>
    <row r="87" spans="2:11" x14ac:dyDescent="0.2">
      <c r="B87" s="1" t="s">
        <v>123</v>
      </c>
      <c r="D87" s="33">
        <f t="shared" ref="D87" si="23">D71-D82</f>
        <v>121.3</v>
      </c>
      <c r="E87" s="40">
        <f t="shared" ref="E87:F87" si="24">E71-E82</f>
        <v>159.214</v>
      </c>
      <c r="F87" s="33">
        <f t="shared" si="24"/>
        <v>201.60000000000002</v>
      </c>
      <c r="I87" s="33">
        <f t="shared" ref="I87:J87" si="25">I71-I82</f>
        <v>95.521000000000015</v>
      </c>
      <c r="J87" s="1">
        <f t="shared" si="25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E88" s="29">
        <f>E87/E27</f>
        <v>0.82316992701446201</v>
      </c>
      <c r="F88" s="33">
        <f>F87/F27</f>
        <v>1.0423144779109599</v>
      </c>
      <c r="I88" s="33">
        <f t="shared" ref="I88:K88" si="26">I87/I27</f>
        <v>0.92647087350390889</v>
      </c>
      <c r="J88" s="1">
        <f t="shared" si="26"/>
        <v>0.97471140988438187</v>
      </c>
      <c r="K88" s="33">
        <f t="shared" si="26"/>
        <v>1.4313944079834577</v>
      </c>
    </row>
    <row r="90" spans="2:11" x14ac:dyDescent="0.2">
      <c r="B90" s="1" t="s">
        <v>6</v>
      </c>
      <c r="D90" s="33">
        <f t="shared" ref="D90" si="27">+D69</f>
        <v>36.9</v>
      </c>
      <c r="E90" s="29">
        <f t="shared" ref="E90:F90" si="28">+E69</f>
        <v>42.207000000000001</v>
      </c>
      <c r="F90" s="33">
        <f t="shared" si="28"/>
        <v>40.4</v>
      </c>
      <c r="I90" s="33">
        <f t="shared" ref="I90:J90" si="29">+I69</f>
        <v>34.429000000000002</v>
      </c>
      <c r="J90" s="33">
        <f t="shared" si="29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30">+D80</f>
        <v>3.7</v>
      </c>
      <c r="E91" s="40">
        <f t="shared" ref="E91:F91" si="31">+E80</f>
        <v>6.4249999999999998</v>
      </c>
      <c r="F91" s="33">
        <f t="shared" si="31"/>
        <v>5.8</v>
      </c>
      <c r="I91" s="33">
        <f t="shared" ref="I91:J91" si="32">+I80</f>
        <v>0</v>
      </c>
      <c r="J91" s="33">
        <f t="shared" si="32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3">D90-D91</f>
        <v>33.199999999999996</v>
      </c>
      <c r="E92" s="76">
        <f t="shared" ref="E92:F92" si="34">E90-E91</f>
        <v>35.782000000000004</v>
      </c>
      <c r="F92" s="32">
        <f t="shared" si="34"/>
        <v>34.6</v>
      </c>
      <c r="G92" s="30"/>
      <c r="I92" s="32">
        <f t="shared" ref="I92:J92" si="35">I90-I91</f>
        <v>34.429000000000002</v>
      </c>
      <c r="J92" s="32">
        <f t="shared" si="35"/>
        <v>29.143000000000004</v>
      </c>
      <c r="K92" s="32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3">
        <f>+F95+F27</f>
        <v>593.91571499999998</v>
      </c>
    </row>
    <row r="97" spans="2:6" x14ac:dyDescent="0.2">
      <c r="B97" s="1" t="s">
        <v>9</v>
      </c>
      <c r="F97" s="33">
        <f>+F96-(F92*F94)</f>
        <v>566.58171500000003</v>
      </c>
    </row>
    <row r="98" spans="2:6" x14ac:dyDescent="0.2">
      <c r="B98" s="1" t="s">
        <v>143</v>
      </c>
      <c r="F98" s="33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8">
        <f>(F95/100)/F88</f>
        <v>3.8424104095982141</v>
      </c>
    </row>
    <row r="103" spans="2:6" x14ac:dyDescent="0.2">
      <c r="B103" s="1" t="s">
        <v>90</v>
      </c>
      <c r="F103" s="78">
        <f>(F96*(1/F94))/SUM(E13:F13)</f>
        <v>2.3457069623235083</v>
      </c>
    </row>
    <row r="104" spans="2:6" x14ac:dyDescent="0.2">
      <c r="B104" s="1" t="s">
        <v>91</v>
      </c>
      <c r="F104" s="78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2024-10-01T21:13:26Z</dcterms:modified>
</cp:coreProperties>
</file>