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4F8F804-9D56-4BD6-81FE-5AFCFC472003}" xr6:coauthVersionLast="36" xr6:coauthVersionMax="47" xr10:uidLastSave="{00000000-0000-0000-0000-000000000000}"/>
  <bookViews>
    <workbookView xWindow="0" yWindow="495" windowWidth="30765" windowHeight="18900" activeTab="1" xr2:uid="{2D5D8E9F-9DBA-4771-9CE7-44578AC3E7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8" i="2" l="1"/>
  <c r="O88" i="2"/>
  <c r="N88" i="2"/>
  <c r="M88" i="2"/>
  <c r="L88" i="2"/>
  <c r="K88" i="2"/>
  <c r="J88" i="2"/>
  <c r="P88" i="2"/>
  <c r="C35" i="1" l="1"/>
  <c r="A88" i="2"/>
  <c r="D90" i="2"/>
  <c r="C25" i="1"/>
  <c r="P37" i="2"/>
  <c r="C26" i="1"/>
  <c r="Z79" i="2"/>
  <c r="D80" i="2"/>
  <c r="C80" i="2"/>
  <c r="O80" i="2"/>
  <c r="N80" i="2"/>
  <c r="M80" i="2"/>
  <c r="L80" i="2"/>
  <c r="K80" i="2"/>
  <c r="J80" i="2"/>
  <c r="I80" i="2"/>
  <c r="H80" i="2"/>
  <c r="G80" i="2"/>
  <c r="F80" i="2"/>
  <c r="P80" i="2"/>
  <c r="O75" i="2"/>
  <c r="O77" i="2" s="1"/>
  <c r="N75" i="2"/>
  <c r="M75" i="2"/>
  <c r="L75" i="2"/>
  <c r="K75" i="2"/>
  <c r="J75" i="2"/>
  <c r="J77" i="2" s="1"/>
  <c r="J81" i="2" s="1"/>
  <c r="I75" i="2"/>
  <c r="H75" i="2"/>
  <c r="G75" i="2"/>
  <c r="F75" i="2"/>
  <c r="E75" i="2"/>
  <c r="D75" i="2"/>
  <c r="C75" i="2"/>
  <c r="C77" i="2" s="1"/>
  <c r="P75" i="2"/>
  <c r="P77" i="2" s="1"/>
  <c r="P81" i="2" s="1"/>
  <c r="D76" i="2"/>
  <c r="C76" i="2"/>
  <c r="O76" i="2"/>
  <c r="N76" i="2"/>
  <c r="M76" i="2"/>
  <c r="L76" i="2"/>
  <c r="K76" i="2"/>
  <c r="J76" i="2"/>
  <c r="I76" i="2"/>
  <c r="H76" i="2"/>
  <c r="G76" i="2"/>
  <c r="F76" i="2"/>
  <c r="P76" i="2"/>
  <c r="C10" i="1" s="1"/>
  <c r="P73" i="2"/>
  <c r="P72" i="2"/>
  <c r="P60" i="2"/>
  <c r="P64" i="2" s="1"/>
  <c r="P67" i="2" s="1"/>
  <c r="P49" i="2"/>
  <c r="P46" i="2"/>
  <c r="P52" i="2" s="1"/>
  <c r="P69" i="2" s="1"/>
  <c r="P70" i="2" s="1"/>
  <c r="C7" i="1"/>
  <c r="P6" i="2"/>
  <c r="P8" i="2" s="1"/>
  <c r="M77" i="2" l="1"/>
  <c r="N77" i="2"/>
  <c r="G77" i="2"/>
  <c r="G81" i="2" s="1"/>
  <c r="O81" i="2"/>
  <c r="K77" i="2"/>
  <c r="K81" i="2" s="1"/>
  <c r="L77" i="2"/>
  <c r="L81" i="2" s="1"/>
  <c r="F77" i="2"/>
  <c r="F81" i="2" s="1"/>
  <c r="C81" i="2"/>
  <c r="P83" i="2"/>
  <c r="C36" i="1"/>
  <c r="M81" i="2"/>
  <c r="N81" i="2"/>
  <c r="C9" i="1"/>
  <c r="D77" i="2"/>
  <c r="D81" i="2" s="1"/>
  <c r="H77" i="2"/>
  <c r="H81" i="2" s="1"/>
  <c r="I77" i="2"/>
  <c r="I81" i="2" s="1"/>
  <c r="P11" i="2"/>
  <c r="P24" i="2"/>
  <c r="Y19" i="2"/>
  <c r="Y16" i="2"/>
  <c r="Y14" i="2"/>
  <c r="Y13" i="2"/>
  <c r="Y9" i="2"/>
  <c r="Y7" i="2"/>
  <c r="P25" i="2" l="1"/>
  <c r="P15" i="2"/>
  <c r="Z66" i="2"/>
  <c r="Z63" i="2"/>
  <c r="Z62" i="2"/>
  <c r="Z76" i="2" s="1"/>
  <c r="Z61" i="2"/>
  <c r="Z59" i="2"/>
  <c r="Z58" i="2"/>
  <c r="Z57" i="2"/>
  <c r="Z56" i="2"/>
  <c r="Z55" i="2"/>
  <c r="Z54" i="2"/>
  <c r="Z51" i="2"/>
  <c r="Z50" i="2"/>
  <c r="Z48" i="2"/>
  <c r="Z47" i="2"/>
  <c r="Z45" i="2"/>
  <c r="Z44" i="2"/>
  <c r="Z43" i="2"/>
  <c r="Z42" i="2"/>
  <c r="Z41" i="2"/>
  <c r="Z38" i="2"/>
  <c r="Z19" i="2"/>
  <c r="Z80" i="2" s="1"/>
  <c r="Z16" i="2"/>
  <c r="Z14" i="2"/>
  <c r="Z13" i="2"/>
  <c r="Z9" i="2"/>
  <c r="Z7" i="2"/>
  <c r="Z5" i="2"/>
  <c r="Z4" i="2"/>
  <c r="Z3" i="2"/>
  <c r="C60" i="2"/>
  <c r="C64" i="2" s="1"/>
  <c r="C69" i="2" s="1"/>
  <c r="C70" i="2" s="1"/>
  <c r="C83" i="2" s="1"/>
  <c r="C46" i="2"/>
  <c r="C52" i="2" s="1"/>
  <c r="D22" i="2"/>
  <c r="G21" i="2"/>
  <c r="C10" i="2"/>
  <c r="C8" i="2"/>
  <c r="C11" i="2" s="1"/>
  <c r="C15" i="2" s="1"/>
  <c r="E73" i="2"/>
  <c r="D73" i="2"/>
  <c r="G72" i="2"/>
  <c r="G73" i="2"/>
  <c r="G59" i="2"/>
  <c r="G60" i="2" s="1"/>
  <c r="G64" i="2" s="1"/>
  <c r="G46" i="2"/>
  <c r="G52" i="2" s="1"/>
  <c r="G10" i="2"/>
  <c r="G8" i="2"/>
  <c r="G24" i="2" s="1"/>
  <c r="H72" i="2"/>
  <c r="J72" i="2"/>
  <c r="K72" i="2"/>
  <c r="D10" i="2"/>
  <c r="D8" i="2"/>
  <c r="D24" i="2" s="1"/>
  <c r="L72" i="2"/>
  <c r="H73" i="2"/>
  <c r="D60" i="2"/>
  <c r="D64" i="2" s="1"/>
  <c r="D46" i="2"/>
  <c r="D52" i="2" s="1"/>
  <c r="H58" i="2"/>
  <c r="H60" i="2" s="1"/>
  <c r="H64" i="2" s="1"/>
  <c r="L73" i="2"/>
  <c r="L60" i="2"/>
  <c r="L64" i="2" s="1"/>
  <c r="L67" i="2" s="1"/>
  <c r="H46" i="2"/>
  <c r="H52" i="2" s="1"/>
  <c r="M73" i="2"/>
  <c r="I73" i="2"/>
  <c r="L46" i="2"/>
  <c r="L52" i="2" s="1"/>
  <c r="H10" i="2"/>
  <c r="H6" i="2"/>
  <c r="L6" i="2"/>
  <c r="I60" i="2"/>
  <c r="I64" i="2" s="1"/>
  <c r="I67" i="2" s="1"/>
  <c r="J73" i="2"/>
  <c r="N73" i="2"/>
  <c r="M72" i="2"/>
  <c r="M60" i="2"/>
  <c r="M64" i="2" s="1"/>
  <c r="M67" i="2" s="1"/>
  <c r="I46" i="2"/>
  <c r="I52" i="2" s="1"/>
  <c r="F46" i="2"/>
  <c r="M46" i="2"/>
  <c r="M52" i="2" s="1"/>
  <c r="I10" i="2"/>
  <c r="I6" i="2"/>
  <c r="M6" i="2"/>
  <c r="N72" i="2"/>
  <c r="K73" i="2"/>
  <c r="J60" i="2"/>
  <c r="J64" i="2" s="1"/>
  <c r="J67" i="2" s="1"/>
  <c r="J49" i="2"/>
  <c r="J46" i="2"/>
  <c r="F60" i="2"/>
  <c r="F64" i="2" s="1"/>
  <c r="F67" i="2" s="1"/>
  <c r="F49" i="2"/>
  <c r="J10" i="2"/>
  <c r="N10" i="2"/>
  <c r="Z10" i="2" s="1"/>
  <c r="J6" i="2"/>
  <c r="N6" i="2"/>
  <c r="N8" i="2" s="1"/>
  <c r="Y38" i="2"/>
  <c r="X38" i="2"/>
  <c r="M37" i="2"/>
  <c r="L37" i="2"/>
  <c r="K37" i="2"/>
  <c r="J37" i="2"/>
  <c r="I37" i="2"/>
  <c r="H37" i="2"/>
  <c r="G37" i="2"/>
  <c r="F37" i="2"/>
  <c r="E37" i="2"/>
  <c r="D37" i="2"/>
  <c r="C37" i="2"/>
  <c r="J52" i="2" l="1"/>
  <c r="J69" i="2" s="1"/>
  <c r="J70" i="2" s="1"/>
  <c r="J83" i="2" s="1"/>
  <c r="M69" i="2"/>
  <c r="M70" i="2" s="1"/>
  <c r="M83" i="2" s="1"/>
  <c r="D67" i="2"/>
  <c r="D69" i="2"/>
  <c r="D70" i="2" s="1"/>
  <c r="D83" i="2" s="1"/>
  <c r="M8" i="2"/>
  <c r="M24" i="2" s="1"/>
  <c r="L69" i="2"/>
  <c r="L70" i="2" s="1"/>
  <c r="L83" i="2" s="1"/>
  <c r="H21" i="2"/>
  <c r="J84" i="2"/>
  <c r="J90" i="2"/>
  <c r="J85" i="2"/>
  <c r="I8" i="2"/>
  <c r="I11" i="2" s="1"/>
  <c r="I15" i="2" s="1"/>
  <c r="J22" i="2"/>
  <c r="C24" i="2"/>
  <c r="P21" i="2"/>
  <c r="F52" i="2"/>
  <c r="F69" i="2" s="1"/>
  <c r="I69" i="2"/>
  <c r="I70" i="2" s="1"/>
  <c r="I83" i="2" s="1"/>
  <c r="J8" i="2"/>
  <c r="I22" i="2"/>
  <c r="Z75" i="2"/>
  <c r="Z77" i="2" s="1"/>
  <c r="Z81" i="2" s="1"/>
  <c r="P27" i="2"/>
  <c r="P17" i="2"/>
  <c r="G67" i="2"/>
  <c r="G69" i="2"/>
  <c r="G70" i="2" s="1"/>
  <c r="G83" i="2" s="1"/>
  <c r="C25" i="2"/>
  <c r="C67" i="2"/>
  <c r="D11" i="2"/>
  <c r="D15" i="2" s="1"/>
  <c r="Y10" i="2"/>
  <c r="H22" i="2"/>
  <c r="I24" i="2"/>
  <c r="L8" i="2"/>
  <c r="J11" i="2"/>
  <c r="J15" i="2" s="1"/>
  <c r="M22" i="2"/>
  <c r="M21" i="2"/>
  <c r="L21" i="2"/>
  <c r="Y6" i="2"/>
  <c r="Y8" i="2" s="1"/>
  <c r="J24" i="2"/>
  <c r="H8" i="2"/>
  <c r="G11" i="2"/>
  <c r="G15" i="2" s="1"/>
  <c r="H67" i="2"/>
  <c r="H69" i="2"/>
  <c r="H70" i="2" s="1"/>
  <c r="H83" i="2" s="1"/>
  <c r="N24" i="2"/>
  <c r="N11" i="2"/>
  <c r="N15" i="2" s="1"/>
  <c r="N21" i="2"/>
  <c r="N22" i="2"/>
  <c r="N37" i="2"/>
  <c r="O37" i="2"/>
  <c r="M11" i="2" l="1"/>
  <c r="M15" i="2" s="1"/>
  <c r="J25" i="2"/>
  <c r="I25" i="2"/>
  <c r="P18" i="2"/>
  <c r="P86" i="2" s="1"/>
  <c r="P26" i="2"/>
  <c r="Y24" i="2"/>
  <c r="Y11" i="2"/>
  <c r="Y15" i="2" s="1"/>
  <c r="H11" i="2"/>
  <c r="H15" i="2" s="1"/>
  <c r="H24" i="2"/>
  <c r="C17" i="2"/>
  <c r="C27" i="2"/>
  <c r="D25" i="2"/>
  <c r="L24" i="2"/>
  <c r="L11" i="2"/>
  <c r="L15" i="2" s="1"/>
  <c r="G25" i="2"/>
  <c r="M25" i="2"/>
  <c r="J17" i="2"/>
  <c r="J27" i="2"/>
  <c r="I17" i="2"/>
  <c r="I27" i="2"/>
  <c r="N25" i="2"/>
  <c r="O73" i="2"/>
  <c r="N60" i="2"/>
  <c r="N49" i="2"/>
  <c r="Z49" i="2" s="1"/>
  <c r="N46" i="2"/>
  <c r="O72" i="2"/>
  <c r="D17" i="2" l="1"/>
  <c r="D27" i="2"/>
  <c r="H25" i="2"/>
  <c r="N52" i="2"/>
  <c r="Z46" i="2"/>
  <c r="L25" i="2"/>
  <c r="C18" i="2"/>
  <c r="C26" i="2"/>
  <c r="N64" i="2"/>
  <c r="Z60" i="2"/>
  <c r="Y25" i="2"/>
  <c r="G27" i="2"/>
  <c r="G17" i="2"/>
  <c r="N17" i="2"/>
  <c r="N27" i="2"/>
  <c r="I18" i="2"/>
  <c r="I26" i="2"/>
  <c r="J26" i="2"/>
  <c r="J18" i="2"/>
  <c r="M17" i="2"/>
  <c r="M27" i="2"/>
  <c r="K60" i="2"/>
  <c r="K64" i="2" s="1"/>
  <c r="K67" i="2" s="1"/>
  <c r="K49" i="2"/>
  <c r="K46" i="2"/>
  <c r="K52" i="2" s="1"/>
  <c r="O60" i="2"/>
  <c r="O64" i="2" s="1"/>
  <c r="O67" i="2" s="1"/>
  <c r="O49" i="2"/>
  <c r="O46" i="2"/>
  <c r="O52" i="2" s="1"/>
  <c r="O69" i="2" l="1"/>
  <c r="O70" i="2" s="1"/>
  <c r="O83" i="2" s="1"/>
  <c r="N67" i="2"/>
  <c r="Z67" i="2" s="1"/>
  <c r="Z64" i="2"/>
  <c r="L27" i="2"/>
  <c r="L17" i="2"/>
  <c r="K69" i="2"/>
  <c r="K70" i="2" s="1"/>
  <c r="K83" i="2" s="1"/>
  <c r="N69" i="2"/>
  <c r="Z52" i="2"/>
  <c r="H27" i="2"/>
  <c r="H17" i="2"/>
  <c r="Y17" i="2"/>
  <c r="Y27" i="2"/>
  <c r="D26" i="2"/>
  <c r="D18" i="2"/>
  <c r="G26" i="2"/>
  <c r="G18" i="2"/>
  <c r="M18" i="2"/>
  <c r="M26" i="2"/>
  <c r="N18" i="2"/>
  <c r="N86" i="2" s="1"/>
  <c r="N26" i="2"/>
  <c r="K6" i="2"/>
  <c r="O6" i="2"/>
  <c r="O22" i="2" l="1"/>
  <c r="P22" i="2"/>
  <c r="O90" i="2"/>
  <c r="P85" i="2"/>
  <c r="O85" i="2"/>
  <c r="P90" i="2"/>
  <c r="O84" i="2"/>
  <c r="P84" i="2"/>
  <c r="N90" i="2"/>
  <c r="N84" i="2"/>
  <c r="N85" i="2"/>
  <c r="L84" i="2"/>
  <c r="K85" i="2"/>
  <c r="M85" i="2"/>
  <c r="K90" i="2"/>
  <c r="K84" i="2"/>
  <c r="L90" i="2"/>
  <c r="M90" i="2"/>
  <c r="M84" i="2"/>
  <c r="L85" i="2"/>
  <c r="M86" i="2"/>
  <c r="N70" i="2"/>
  <c r="Z69" i="2"/>
  <c r="Y26" i="2"/>
  <c r="Y18" i="2"/>
  <c r="H26" i="2"/>
  <c r="H18" i="2"/>
  <c r="K22" i="2"/>
  <c r="Z6" i="2"/>
  <c r="L22" i="2"/>
  <c r="L18" i="2"/>
  <c r="L86" i="2" s="1"/>
  <c r="L26" i="2"/>
  <c r="K8" i="2"/>
  <c r="O21" i="2"/>
  <c r="O8" i="2"/>
  <c r="O11" i="2" s="1"/>
  <c r="O15" i="2" s="1"/>
  <c r="C8" i="1"/>
  <c r="C11" i="1"/>
  <c r="A85" i="2" l="1"/>
  <c r="Z70" i="2"/>
  <c r="Z83" i="2" s="1"/>
  <c r="N83" i="2"/>
  <c r="A83" i="2" s="1"/>
  <c r="Z84" i="2"/>
  <c r="Z85" i="2"/>
  <c r="A84" i="2"/>
  <c r="Z21" i="2"/>
  <c r="Z8" i="2"/>
  <c r="O24" i="2"/>
  <c r="K24" i="2"/>
  <c r="K11" i="2"/>
  <c r="K15" i="2" s="1"/>
  <c r="C12" i="1"/>
  <c r="Z24" i="2" l="1"/>
  <c r="Z11" i="2"/>
  <c r="Z15" i="2" s="1"/>
  <c r="K25" i="2"/>
  <c r="O25" i="2"/>
  <c r="Z25" i="2" l="1"/>
  <c r="O17" i="2"/>
  <c r="O27" i="2"/>
  <c r="K27" i="2"/>
  <c r="K17" i="2"/>
  <c r="N87" i="2" l="1"/>
  <c r="L87" i="2"/>
  <c r="M87" i="2"/>
  <c r="K87" i="2"/>
  <c r="P87" i="2"/>
  <c r="O87" i="2"/>
  <c r="C33" i="1"/>
  <c r="Z17" i="2"/>
  <c r="Z87" i="2" s="1"/>
  <c r="C39" i="1" s="1"/>
  <c r="Z27" i="2"/>
  <c r="K26" i="2"/>
  <c r="K18" i="2"/>
  <c r="K86" i="2" s="1"/>
  <c r="O26" i="2"/>
  <c r="O18" i="2"/>
  <c r="A87" i="2" l="1"/>
  <c r="O86" i="2"/>
  <c r="C34" i="1"/>
  <c r="A86" i="2"/>
  <c r="Z26" i="2"/>
  <c r="Z18" i="2"/>
  <c r="Z86" i="2" s="1"/>
  <c r="C38" i="1" s="1"/>
</calcChain>
</file>

<file path=xl/sharedStrings.xml><?xml version="1.0" encoding="utf-8"?>
<sst xmlns="http://schemas.openxmlformats.org/spreadsheetml/2006/main" count="173" uniqueCount="140">
  <si>
    <t>$AEO</t>
  </si>
  <si>
    <t>American Eagle Outfitters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</si>
  <si>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</si>
  <si>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</si>
  <si>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</si>
  <si>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</si>
  <si>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</si>
  <si>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</si>
  <si>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</si>
  <si>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</si>
  <si>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</si>
  <si>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</si>
  <si>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</si>
  <si>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</si>
  <si>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</si>
  <si>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</si>
  <si>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</si>
  <si>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</si>
  <si>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</si>
  <si>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</si>
  <si>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Link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</si>
  <si>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</si>
  <si>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</si>
  <si>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</si>
  <si>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</si>
  <si>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</si>
  <si>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</si>
  <si>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</si>
  <si>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</si>
  <si>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</si>
  <si>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</si>
  <si>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</si>
  <si>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</si>
  <si>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</si>
  <si>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</si>
  <si>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</si>
  <si>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</si>
  <si>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</si>
  <si>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</si>
  <si>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</si>
  <si>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</si>
  <si>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</si>
  <si>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</si>
  <si>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</si>
  <si>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</si>
  <si>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</si>
  <si>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</si>
  <si>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</si>
  <si>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</si>
  <si>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</si>
  <si>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</si>
  <si>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</si>
  <si>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</si>
  <si>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</si>
  <si>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</si>
  <si>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</si>
  <si>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Q223</t>
  </si>
  <si>
    <t>Q323</t>
  </si>
  <si>
    <t>American Eagle</t>
  </si>
  <si>
    <t>Aerie</t>
  </si>
  <si>
    <t>Corporate &amp; Other</t>
  </si>
  <si>
    <t>Revenue</t>
  </si>
  <si>
    <t>COGS</t>
  </si>
  <si>
    <t>Gross Profit</t>
  </si>
  <si>
    <t>SG&amp;A</t>
  </si>
  <si>
    <t>Depreceiation &amp; Amortization</t>
  </si>
  <si>
    <t>Operating Income</t>
  </si>
  <si>
    <t>Interest Expense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</si>
  <si>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</si>
  <si>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</si>
  <si>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</si>
  <si>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</si>
  <si>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</si>
  <si>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</si>
  <si>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</si>
  <si>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</si>
  <si>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</si>
  <si>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</si>
  <si>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</si>
  <si>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Balance Sheet</t>
  </si>
  <si>
    <t>Key Events</t>
  </si>
  <si>
    <t>Pittsburgh, US</t>
  </si>
  <si>
    <t>Jay Schottenstein</t>
  </si>
  <si>
    <t>Chairman</t>
  </si>
  <si>
    <t>VP</t>
  </si>
  <si>
    <t>Michael Mathias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</si>
  <si>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</si>
  <si>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</si>
  <si>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</si>
  <si>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</si>
  <si>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</si>
  <si>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</si>
  <si>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</si>
  <si>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</si>
  <si>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Short Term Investments</t>
  </si>
  <si>
    <t>Merchandise Inventory</t>
  </si>
  <si>
    <t>A/R</t>
  </si>
  <si>
    <t>Prepaid Expenses</t>
  </si>
  <si>
    <t>TCA</t>
  </si>
  <si>
    <t>Operating Lease ROU</t>
  </si>
  <si>
    <t>PP&amp;E</t>
  </si>
  <si>
    <t>Goodwill + Intangibles</t>
  </si>
  <si>
    <t>Deferred Taxes</t>
  </si>
  <si>
    <t>Other Assets</t>
  </si>
  <si>
    <t>Assets</t>
  </si>
  <si>
    <t>A/P</t>
  </si>
  <si>
    <t>Current Operating Lease</t>
  </si>
  <si>
    <t>Unredeemed Gift Cards</t>
  </si>
  <si>
    <t>Compensation &amp; Payroll taxes</t>
  </si>
  <si>
    <t>Accrued Income Taxes</t>
  </si>
  <si>
    <t>Other Current Liabilities</t>
  </si>
  <si>
    <t>TCL</t>
  </si>
  <si>
    <t>Long Term Debt</t>
  </si>
  <si>
    <t>Other NCL</t>
  </si>
  <si>
    <t>Liabilities</t>
  </si>
  <si>
    <t>S/E</t>
  </si>
  <si>
    <t>S/E+L</t>
  </si>
  <si>
    <t>Book Value</t>
  </si>
  <si>
    <t>Book Value per Share</t>
  </si>
  <si>
    <t>Non-Current Operating Lease</t>
  </si>
  <si>
    <t>Inventory Y/Y</t>
  </si>
  <si>
    <t>Inventory Q/Q</t>
  </si>
  <si>
    <t>Non-Finance Metrics</t>
  </si>
  <si>
    <t>AESA Stores</t>
  </si>
  <si>
    <t>Aerie SA</t>
  </si>
  <si>
    <t>Offline SA</t>
  </si>
  <si>
    <t>AE/ Aerie SBS</t>
  </si>
  <si>
    <t>AE / Offline SBS</t>
  </si>
  <si>
    <t>Aerie / Offline SBS</t>
  </si>
  <si>
    <t>Total Stores</t>
  </si>
  <si>
    <t>SBSBS</t>
  </si>
  <si>
    <t>Other</t>
  </si>
  <si>
    <t>Whole sector dragged down as a result</t>
  </si>
  <si>
    <t>$AEO stock falls 10% following bad Wallmart earnings who are reducing prices to shift inventory</t>
  </si>
  <si>
    <t>-</t>
  </si>
  <si>
    <t>Debt Relates Charges</t>
  </si>
  <si>
    <t>Share Price</t>
  </si>
  <si>
    <t>P/S</t>
  </si>
  <si>
    <t>EV/S</t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</si>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</sst>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5" fillId="0" borderId="0" xfId="1" applyFont="1" applyAlignment="1">
      <alignment horizontal="right"/>
    </xf>
    <xf numFmtId="4" fontId="1" fillId="0" borderId="0" xfId="0" applyNumberFormat="1" applyFont="1"/>
    <xf numFmtId="0" fontId="9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4" xfId="0" applyFont="1" applyFill="1" applyBorder="1" applyAlignment="1">
      <alignment horizontal="center"/>
    </xf>
    <xf numFmtId="15" fontId="2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4" borderId="0" xfId="0" applyFont="1" applyFill="1" applyBorder="1" applyAlignment="1">
      <alignment horizontal="left" indent="1"/>
    </xf>
    <xf numFmtId="166" fontId="1" fillId="0" borderId="0" xfId="0" applyNumberFormat="1" applyFont="1"/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65" fontId="10" fillId="0" borderId="0" xfId="0" applyNumberFormat="1" applyFont="1"/>
    <xf numFmtId="9" fontId="10" fillId="0" borderId="0" xfId="0" applyNumberFormat="1" applyFont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47625</xdr:rowOff>
    </xdr:from>
    <xdr:to>
      <xdr:col>5</xdr:col>
      <xdr:colOff>447675</xdr:colOff>
      <xdr:row>5</xdr:row>
      <xdr:rowOff>19050</xdr:rowOff>
    </xdr:to>
    <xdr:pic>
      <xdr:nvPicPr>
        <xdr:cNvPr id="5" name="Picture 4" descr="American Eagle Outfitters | Company Profile">
          <a:extLst>
            <a:ext uri="{FF2B5EF4-FFF2-40B4-BE49-F238E27FC236}">
              <a16:creationId xmlns:a16="http://schemas.microsoft.com/office/drawing/2014/main" id="{CD100B79-60FE-4989-81DA-7F224014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762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16</xdr:col>
      <xdr:colOff>0</xdr:colOff>
      <xdr:row>93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7F7FE7-6D4F-4011-A784-B8EE859C01E7}"/>
            </a:ext>
          </a:extLst>
        </xdr:cNvPr>
        <xdr:cNvCxnSpPr/>
      </xdr:nvCxnSpPr>
      <xdr:spPr>
        <a:xfrm>
          <a:off x="10858500" y="0"/>
          <a:ext cx="0" cy="14935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28575</xdr:rowOff>
    </xdr:from>
    <xdr:to>
      <xdr:col>26</xdr:col>
      <xdr:colOff>9525</xdr:colOff>
      <xdr:row>93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B24CFF-E6E2-40AB-8EF3-8F45C2279F1C}"/>
            </a:ext>
          </a:extLst>
        </xdr:cNvPr>
        <xdr:cNvCxnSpPr/>
      </xdr:nvCxnSpPr>
      <xdr:spPr>
        <a:xfrm>
          <a:off x="16964025" y="28575"/>
          <a:ext cx="0" cy="14973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e.com/investor-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26.q4cdn.com/546305894/files/doc_financials/2021/q3/Q3_InvestorsPresentation_FINAL.pdf" TargetMode="External"/><Relationship Id="rId7" Type="http://schemas.openxmlformats.org/officeDocument/2006/relationships/hyperlink" Target="https://s26.q4cdn.com/546305894/files/doc_news/AEO-Inc.-Reports-Second-Quarter-2022-Results.-Expanding-Actions-to-Strengthen-Financial-Performance-2022.pdf" TargetMode="External"/><Relationship Id="rId2" Type="http://schemas.openxmlformats.org/officeDocument/2006/relationships/hyperlink" Target="https://s26.q4cdn.com/546305894/files/doc_financials/2021/q4/Q4_InvestorsPresentation_FINAL.pdf" TargetMode="External"/><Relationship Id="rId1" Type="http://schemas.openxmlformats.org/officeDocument/2006/relationships/hyperlink" Target="https://s26.q4cdn.com/546305894/files/doc_financials/2022/q1/Q1_InvestorsPresentation.pptx.pdf" TargetMode="External"/><Relationship Id="rId6" Type="http://schemas.openxmlformats.org/officeDocument/2006/relationships/hyperlink" Target="https://s26.q4cdn.com/546305894/files/doc_enevts/2020/Q1-2020-Earnings-Release-Presentation-6.2.20.pdf" TargetMode="External"/><Relationship Id="rId5" Type="http://schemas.openxmlformats.org/officeDocument/2006/relationships/hyperlink" Target="https://www.sec.gov/ix?doc=/Archives/edgar/data/919012/000156459020042969/aeo-10q_20200801.htm" TargetMode="External"/><Relationship Id="rId4" Type="http://schemas.openxmlformats.org/officeDocument/2006/relationships/hyperlink" Target="https://s26.q4cdn.com/546305894/files/doc_financials/2021/q2/AEO-Q221-Investor-Presentation.pdf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F81D-3479-40A6-AF7B-7D17D51D3E4F}">
  <dimension ref="A2:R40"/>
  <sheetViews>
    <sheetView topLeftCell="A7" workbookViewId="0">
      <selection activeCell="C35" sqref="C35:D35"/>
    </sheetView>
  </sheetViews>
  <sheetFormatPr defaultColWidth="9.140625" defaultRowHeight="12.75" x14ac:dyDescent="0.2"/>
  <cols>
    <col min="1" max="16384" width="9.140625" style="1"/>
  </cols>
  <sheetData>
    <row r="2" spans="1:18" ht="15" x14ac:dyDescent="0.25">
      <c r="B2" s="3" t="s">
        <v>0</v>
      </c>
      <c r="F2"/>
    </row>
    <row r="3" spans="1:18" x14ac:dyDescent="0.2">
      <c r="B3" s="2" t="s">
        <v>1</v>
      </c>
    </row>
    <row r="5" spans="1:18" x14ac:dyDescent="0.2">
      <c r="B5" s="50" t="s">
        <v>2</v>
      </c>
      <c r="C5" s="51"/>
      <c r="D5" s="52"/>
      <c r="H5" s="50" t="s">
        <v>80</v>
      </c>
      <c r="I5" s="51"/>
      <c r="J5" s="51"/>
      <c r="K5" s="51"/>
      <c r="L5" s="51"/>
      <c r="M5" s="51"/>
      <c r="N5" s="51"/>
      <c r="O5" s="51"/>
      <c r="P5" s="51"/>
      <c r="Q5" s="51"/>
      <c r="R5" s="52"/>
    </row>
    <row r="6" spans="1:18" x14ac:dyDescent="0.2">
      <c r="B6" s="5" t="s">
        <v>3</v>
      </c>
      <c r="C6" s="4">
        <v>12.92</v>
      </c>
      <c r="D6" s="9"/>
      <c r="H6" s="35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18" x14ac:dyDescent="0.2">
      <c r="B7" s="5" t="s">
        <v>4</v>
      </c>
      <c r="C7" s="33">
        <f>'Financial Model'!P19</f>
        <v>180.18899999999999</v>
      </c>
      <c r="D7" s="9" t="s">
        <v>34</v>
      </c>
      <c r="H7" s="36">
        <v>44768</v>
      </c>
      <c r="I7" s="11" t="s">
        <v>133</v>
      </c>
      <c r="J7" s="11"/>
      <c r="K7" s="11"/>
      <c r="L7" s="11"/>
      <c r="M7" s="11"/>
      <c r="N7" s="11"/>
      <c r="O7" s="11"/>
      <c r="P7" s="11"/>
      <c r="Q7" s="11"/>
      <c r="R7" s="12"/>
    </row>
    <row r="8" spans="1:18" x14ac:dyDescent="0.2">
      <c r="B8" s="5" t="s">
        <v>5</v>
      </c>
      <c r="C8" s="33">
        <f>C6*C7</f>
        <v>2328.0418799999998</v>
      </c>
      <c r="D8" s="9"/>
      <c r="H8" s="35"/>
      <c r="I8" s="39" t="s">
        <v>132</v>
      </c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">
      <c r="B9" s="5" t="s">
        <v>6</v>
      </c>
      <c r="C9" s="33">
        <f>'Financial Model'!P75</f>
        <v>98.213999999999999</v>
      </c>
      <c r="D9" s="9" t="s">
        <v>34</v>
      </c>
      <c r="H9" s="35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1:18" x14ac:dyDescent="0.2">
      <c r="B10" s="5" t="s">
        <v>7</v>
      </c>
      <c r="C10" s="33">
        <f>'Financial Model'!P76</f>
        <v>376.52199999999999</v>
      </c>
      <c r="D10" s="9" t="s">
        <v>34</v>
      </c>
      <c r="H10" s="35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1:18" x14ac:dyDescent="0.2">
      <c r="B11" s="5" t="s">
        <v>8</v>
      </c>
      <c r="C11" s="33">
        <f>C9-C10</f>
        <v>-278.30799999999999</v>
      </c>
      <c r="D11" s="9" t="s">
        <v>34</v>
      </c>
      <c r="H11" s="35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1:18" x14ac:dyDescent="0.2">
      <c r="B12" s="6" t="s">
        <v>9</v>
      </c>
      <c r="C12" s="34">
        <f>C8-C11</f>
        <v>2606.3498799999998</v>
      </c>
      <c r="D12" s="10"/>
      <c r="H12" s="35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1:18" x14ac:dyDescent="0.2">
      <c r="H13" s="35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1:18" x14ac:dyDescent="0.2">
      <c r="H14" s="35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1:18" x14ac:dyDescent="0.2">
      <c r="B15" s="50" t="s">
        <v>10</v>
      </c>
      <c r="C15" s="51"/>
      <c r="D15" s="52"/>
      <c r="H15" s="35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">
      <c r="A16" s="21" t="s">
        <v>83</v>
      </c>
      <c r="B16" s="7" t="s">
        <v>11</v>
      </c>
      <c r="C16" s="53" t="s">
        <v>82</v>
      </c>
      <c r="D16" s="54"/>
      <c r="H16" s="35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8" x14ac:dyDescent="0.2">
      <c r="A17" s="21" t="s">
        <v>84</v>
      </c>
      <c r="B17" s="7" t="s">
        <v>12</v>
      </c>
      <c r="C17" s="53" t="s">
        <v>85</v>
      </c>
      <c r="D17" s="54"/>
      <c r="H17" s="35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1:18" x14ac:dyDescent="0.2">
      <c r="B18" s="7"/>
      <c r="C18" s="53"/>
      <c r="D18" s="54"/>
      <c r="H18" s="35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1:18" x14ac:dyDescent="0.2">
      <c r="B19" s="8"/>
      <c r="C19" s="59"/>
      <c r="D19" s="60"/>
      <c r="H19" s="37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2" spans="1:18" x14ac:dyDescent="0.2">
      <c r="B22" s="50" t="s">
        <v>13</v>
      </c>
      <c r="C22" s="51"/>
      <c r="D22" s="52"/>
    </row>
    <row r="23" spans="1:18" x14ac:dyDescent="0.2">
      <c r="B23" s="15" t="s">
        <v>14</v>
      </c>
      <c r="C23" s="53" t="s">
        <v>81</v>
      </c>
      <c r="D23" s="54"/>
    </row>
    <row r="24" spans="1:18" x14ac:dyDescent="0.2">
      <c r="B24" s="15" t="s">
        <v>15</v>
      </c>
      <c r="C24" s="53">
        <v>1977</v>
      </c>
      <c r="D24" s="54"/>
    </row>
    <row r="25" spans="1:18" x14ac:dyDescent="0.2">
      <c r="B25" s="15" t="s">
        <v>16</v>
      </c>
      <c r="C25" s="55">
        <f>'Financial Model'!P38</f>
        <v>1160</v>
      </c>
      <c r="D25" s="56"/>
    </row>
    <row r="26" spans="1:18" x14ac:dyDescent="0.2">
      <c r="B26" s="15" t="s">
        <v>17</v>
      </c>
      <c r="C26" s="57">
        <f>'Financial Model'!P43</f>
        <v>687.04600000000005</v>
      </c>
      <c r="D26" s="58"/>
    </row>
    <row r="27" spans="1:18" x14ac:dyDescent="0.2">
      <c r="B27" s="15"/>
      <c r="C27" s="53"/>
      <c r="D27" s="54"/>
    </row>
    <row r="28" spans="1:18" x14ac:dyDescent="0.2">
      <c r="B28" s="15" t="s">
        <v>18</v>
      </c>
      <c r="C28" s="43" t="s">
        <v>34</v>
      </c>
      <c r="D28" s="44">
        <v>44811</v>
      </c>
    </row>
    <row r="29" spans="1:18" x14ac:dyDescent="0.2">
      <c r="B29" s="16" t="s">
        <v>19</v>
      </c>
      <c r="C29" s="48" t="s">
        <v>20</v>
      </c>
      <c r="D29" s="49"/>
    </row>
    <row r="32" spans="1:18" x14ac:dyDescent="0.2">
      <c r="B32" s="50" t="s">
        <v>86</v>
      </c>
      <c r="C32" s="51"/>
      <c r="D32" s="52"/>
    </row>
    <row r="33" spans="2:4" x14ac:dyDescent="0.2">
      <c r="B33" s="15" t="s">
        <v>87</v>
      </c>
      <c r="C33" s="62">
        <f>C12/SUM('Financial Model'!L17:P17)</f>
        <v>8.3153867603378018</v>
      </c>
      <c r="D33" s="63"/>
    </row>
    <row r="34" spans="2:4" x14ac:dyDescent="0.2">
      <c r="B34" s="15" t="s">
        <v>88</v>
      </c>
      <c r="C34" s="62">
        <f>C6/SUM('Financial Model'!M18:P18)</f>
        <v>11.122029267148672</v>
      </c>
      <c r="D34" s="63"/>
    </row>
    <row r="35" spans="2:4" x14ac:dyDescent="0.2">
      <c r="B35" s="15" t="s">
        <v>89</v>
      </c>
      <c r="C35" s="61">
        <f>'Financial Model'!P88</f>
        <v>0.1187009559089242</v>
      </c>
      <c r="D35" s="54"/>
    </row>
    <row r="36" spans="2:4" x14ac:dyDescent="0.2">
      <c r="B36" s="15" t="s">
        <v>90</v>
      </c>
      <c r="C36" s="62">
        <f>C6/'Financial Model'!P70</f>
        <v>1.6956827731781026</v>
      </c>
      <c r="D36" s="63"/>
    </row>
    <row r="37" spans="2:4" x14ac:dyDescent="0.2">
      <c r="B37" s="15"/>
      <c r="C37" s="53"/>
      <c r="D37" s="54"/>
    </row>
    <row r="38" spans="2:4" x14ac:dyDescent="0.2">
      <c r="B38" s="15" t="s">
        <v>91</v>
      </c>
      <c r="C38" s="62">
        <f>'Financial Model'!Z86</f>
        <v>8.8873061964701936</v>
      </c>
      <c r="D38" s="63"/>
    </row>
    <row r="39" spans="2:4" x14ac:dyDescent="0.2">
      <c r="B39" s="15" t="s">
        <v>92</v>
      </c>
      <c r="C39" s="62">
        <f>'Financial Model'!Z87</f>
        <v>8.663850071253929</v>
      </c>
      <c r="D39" s="63"/>
    </row>
    <row r="40" spans="2:4" x14ac:dyDescent="0.2">
      <c r="B40" s="16" t="s">
        <v>93</v>
      </c>
      <c r="C40" s="59"/>
      <c r="D40" s="60"/>
    </row>
  </sheetData>
  <mergeCells count="23">
    <mergeCell ref="C40:D40"/>
    <mergeCell ref="H5:R5"/>
    <mergeCell ref="C35:D35"/>
    <mergeCell ref="C36:D36"/>
    <mergeCell ref="C37:D37"/>
    <mergeCell ref="C38:D38"/>
    <mergeCell ref="C39:D39"/>
    <mergeCell ref="C19:D19"/>
    <mergeCell ref="B32:D32"/>
    <mergeCell ref="C33:D33"/>
    <mergeCell ref="C34:D34"/>
    <mergeCell ref="B5:D5"/>
    <mergeCell ref="B15:D15"/>
    <mergeCell ref="C16:D16"/>
    <mergeCell ref="C17:D17"/>
    <mergeCell ref="C18:D18"/>
    <mergeCell ref="C29:D29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7B647FD1-964F-4B61-9B8A-709E47541E3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567-3C76-461E-8871-8262189BBFA2}">
  <dimension ref="A1:AN90"/>
  <sheetViews>
    <sheetView tabSelected="1" workbookViewId="0">
      <pane xSplit="2" ySplit="2" topLeftCell="E49" activePane="bottomRight" state="frozen"/>
      <selection pane="topRight" activeCell="C1" sqref="C1"/>
      <selection pane="bottomLeft" activeCell="A3" sqref="A3"/>
      <selection pane="bottomRight" activeCell="Z88" sqref="Z88"/>
    </sheetView>
  </sheetViews>
  <sheetFormatPr defaultColWidth="9.140625" defaultRowHeight="12.75" x14ac:dyDescent="0.2"/>
  <cols>
    <col min="1" max="1" width="9.140625" style="1"/>
    <col min="2" max="2" width="25.7109375" style="1" bestFit="1" customWidth="1"/>
    <col min="3" max="16384" width="9.140625" style="1"/>
  </cols>
  <sheetData>
    <row r="1" spans="2:40" s="17" customFormat="1" x14ac:dyDescent="0.2">
      <c r="C1" s="17" t="s">
        <v>21</v>
      </c>
      <c r="D1" s="17" t="s">
        <v>22</v>
      </c>
      <c r="E1" s="17" t="s">
        <v>23</v>
      </c>
      <c r="F1" s="17" t="s">
        <v>24</v>
      </c>
      <c r="G1" s="30" t="s">
        <v>25</v>
      </c>
      <c r="H1" s="30" t="s">
        <v>26</v>
      </c>
      <c r="I1" s="17" t="s">
        <v>27</v>
      </c>
      <c r="J1" s="17" t="s">
        <v>28</v>
      </c>
      <c r="K1" s="17" t="s">
        <v>29</v>
      </c>
      <c r="L1" s="30" t="s">
        <v>30</v>
      </c>
      <c r="M1" s="30" t="s">
        <v>31</v>
      </c>
      <c r="N1" s="30" t="s">
        <v>32</v>
      </c>
      <c r="O1" s="30" t="s">
        <v>33</v>
      </c>
      <c r="P1" s="30" t="s">
        <v>34</v>
      </c>
      <c r="Q1" s="17" t="s">
        <v>35</v>
      </c>
      <c r="R1" s="17" t="s">
        <v>36</v>
      </c>
      <c r="S1" s="17" t="s">
        <v>37</v>
      </c>
      <c r="T1" s="17" t="s">
        <v>56</v>
      </c>
      <c r="U1" s="17" t="s">
        <v>57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 t="s">
        <v>48</v>
      </c>
      <c r="AH1" s="17" t="s">
        <v>49</v>
      </c>
      <c r="AI1" s="17" t="s">
        <v>50</v>
      </c>
      <c r="AJ1" s="17" t="s">
        <v>51</v>
      </c>
      <c r="AK1" s="17" t="s">
        <v>52</v>
      </c>
      <c r="AL1" s="17" t="s">
        <v>53</v>
      </c>
      <c r="AM1" s="17" t="s">
        <v>54</v>
      </c>
      <c r="AN1" s="17" t="s">
        <v>55</v>
      </c>
    </row>
    <row r="2" spans="2:40" s="22" customFormat="1" x14ac:dyDescent="0.2">
      <c r="B2" s="23"/>
      <c r="C2" s="24">
        <v>43589</v>
      </c>
      <c r="D2" s="24">
        <v>43680</v>
      </c>
      <c r="F2" s="24">
        <v>43862</v>
      </c>
      <c r="G2" s="24">
        <v>43953</v>
      </c>
      <c r="H2" s="24">
        <v>44044</v>
      </c>
      <c r="I2" s="24">
        <v>44135</v>
      </c>
      <c r="J2" s="24">
        <v>44226</v>
      </c>
      <c r="K2" s="24">
        <v>44317</v>
      </c>
      <c r="L2" s="24">
        <v>44408</v>
      </c>
      <c r="M2" s="24">
        <v>44499</v>
      </c>
      <c r="N2" s="24">
        <v>44590</v>
      </c>
      <c r="O2" s="24">
        <v>44681</v>
      </c>
      <c r="P2" s="24">
        <v>44772</v>
      </c>
      <c r="X2" s="24">
        <v>43862</v>
      </c>
      <c r="Y2" s="24">
        <v>44226</v>
      </c>
      <c r="Z2" s="24">
        <v>44590</v>
      </c>
    </row>
    <row r="3" spans="2:40" s="18" customFormat="1" x14ac:dyDescent="0.2">
      <c r="B3" s="38" t="s">
        <v>58</v>
      </c>
      <c r="C3" s="41" t="s">
        <v>134</v>
      </c>
      <c r="D3" s="41" t="s">
        <v>134</v>
      </c>
      <c r="G3" s="41" t="s">
        <v>134</v>
      </c>
      <c r="H3" s="19">
        <v>624.83100000000002</v>
      </c>
      <c r="I3" s="19">
        <v>775.96100000000001</v>
      </c>
      <c r="J3" s="19">
        <v>942.89200000000005</v>
      </c>
      <c r="K3" s="19">
        <v>727.702</v>
      </c>
      <c r="L3" s="19">
        <v>845.88199999999995</v>
      </c>
      <c r="M3" s="19">
        <v>940.99199999999996</v>
      </c>
      <c r="N3" s="19">
        <v>1043.2639999999999</v>
      </c>
      <c r="O3" s="19">
        <v>685.57899999999995</v>
      </c>
      <c r="P3" s="19">
        <v>777.82799999999997</v>
      </c>
      <c r="X3" s="41" t="s">
        <v>134</v>
      </c>
      <c r="Y3" s="41" t="s">
        <v>134</v>
      </c>
      <c r="Z3" s="19">
        <f>SUM(K3:N3)</f>
        <v>3557.84</v>
      </c>
    </row>
    <row r="4" spans="2:40" s="18" customFormat="1" x14ac:dyDescent="0.2">
      <c r="B4" s="38" t="s">
        <v>59</v>
      </c>
      <c r="C4" s="41" t="s">
        <v>134</v>
      </c>
      <c r="D4" s="41" t="s">
        <v>134</v>
      </c>
      <c r="G4" s="41" t="s">
        <v>134</v>
      </c>
      <c r="H4" s="19">
        <v>251.511</v>
      </c>
      <c r="I4" s="19">
        <v>246.74799999999999</v>
      </c>
      <c r="J4" s="19">
        <v>336.709</v>
      </c>
      <c r="K4" s="19">
        <v>297.48700000000002</v>
      </c>
      <c r="L4" s="19">
        <v>335.79500000000002</v>
      </c>
      <c r="M4" s="19">
        <v>315.04899999999998</v>
      </c>
      <c r="N4" s="19">
        <v>428.41800000000001</v>
      </c>
      <c r="O4" s="19">
        <v>321.71199999999999</v>
      </c>
      <c r="P4" s="19">
        <v>371.68299999999999</v>
      </c>
      <c r="X4" s="41" t="s">
        <v>134</v>
      </c>
      <c r="Y4" s="41" t="s">
        <v>134</v>
      </c>
      <c r="Z4" s="19">
        <f t="shared" ref="Z4:Z5" si="0">SUM(K4:N4)</f>
        <v>1376.749</v>
      </c>
    </row>
    <row r="5" spans="2:40" s="18" customFormat="1" x14ac:dyDescent="0.2">
      <c r="B5" s="38" t="s">
        <v>60</v>
      </c>
      <c r="C5" s="41" t="s">
        <v>134</v>
      </c>
      <c r="D5" s="41" t="s">
        <v>134</v>
      </c>
      <c r="G5" s="41" t="s">
        <v>134</v>
      </c>
      <c r="H5" s="19">
        <v>7.1680000000000001</v>
      </c>
      <c r="I5" s="19">
        <v>8.9079999999999995</v>
      </c>
      <c r="J5" s="19">
        <v>12.625999999999999</v>
      </c>
      <c r="K5" s="19">
        <v>9.4250000000000007</v>
      </c>
      <c r="L5" s="19">
        <v>12.478999999999999</v>
      </c>
      <c r="M5" s="19">
        <v>18.036999999999999</v>
      </c>
      <c r="N5" s="19">
        <v>36.255000000000003</v>
      </c>
      <c r="O5" s="19">
        <v>47.746000000000002</v>
      </c>
      <c r="P5" s="19">
        <v>48.613</v>
      </c>
      <c r="X5" s="41" t="s">
        <v>134</v>
      </c>
      <c r="Y5" s="41" t="s">
        <v>134</v>
      </c>
      <c r="Z5" s="19">
        <f t="shared" si="0"/>
        <v>76.195999999999998</v>
      </c>
    </row>
    <row r="6" spans="2:40" s="2" customFormat="1" x14ac:dyDescent="0.2">
      <c r="B6" s="2" t="s">
        <v>61</v>
      </c>
      <c r="C6" s="20">
        <v>886.29</v>
      </c>
      <c r="D6" s="20">
        <v>1040.8789999999999</v>
      </c>
      <c r="G6" s="20">
        <v>551.69200000000001</v>
      </c>
      <c r="H6" s="20">
        <f t="shared" ref="H6:P6" si="1">SUM(H3:H5)</f>
        <v>883.51</v>
      </c>
      <c r="I6" s="20">
        <f t="shared" si="1"/>
        <v>1031.617</v>
      </c>
      <c r="J6" s="20">
        <f t="shared" si="1"/>
        <v>1292.2270000000001</v>
      </c>
      <c r="K6" s="20">
        <f t="shared" si="1"/>
        <v>1034.614</v>
      </c>
      <c r="L6" s="20">
        <f t="shared" si="1"/>
        <v>1194.1559999999999</v>
      </c>
      <c r="M6" s="20">
        <f t="shared" si="1"/>
        <v>1274.078</v>
      </c>
      <c r="N6" s="20">
        <f t="shared" si="1"/>
        <v>1507.9369999999999</v>
      </c>
      <c r="O6" s="20">
        <f t="shared" si="1"/>
        <v>1055.037</v>
      </c>
      <c r="P6" s="20">
        <f t="shared" si="1"/>
        <v>1198.124</v>
      </c>
      <c r="Y6" s="20">
        <f>SUM(G6:J6)</f>
        <v>3759.0460000000003</v>
      </c>
      <c r="Z6" s="20">
        <f>SUM(K6:N6)</f>
        <v>5010.7849999999999</v>
      </c>
    </row>
    <row r="7" spans="2:40" x14ac:dyDescent="0.2">
      <c r="B7" s="1" t="s">
        <v>62</v>
      </c>
      <c r="C7" s="26">
        <v>561.36900000000003</v>
      </c>
      <c r="D7" s="26">
        <v>658.30799999999999</v>
      </c>
      <c r="G7" s="26">
        <v>523.38599999999997</v>
      </c>
      <c r="H7" s="26">
        <v>618.31100000000004</v>
      </c>
      <c r="I7" s="26">
        <v>616.84</v>
      </c>
      <c r="J7" s="26">
        <v>852.42899999999997</v>
      </c>
      <c r="K7" s="26">
        <v>598.42399999999998</v>
      </c>
      <c r="L7" s="26">
        <v>691.76499999999999</v>
      </c>
      <c r="M7" s="26">
        <v>709.55399999999997</v>
      </c>
      <c r="N7" s="26">
        <v>1019.252</v>
      </c>
      <c r="O7" s="26">
        <v>667.01099999999997</v>
      </c>
      <c r="P7" s="26">
        <v>828.10699999999997</v>
      </c>
      <c r="Y7" s="26">
        <f>SUM(G7:J7)</f>
        <v>2610.9660000000003</v>
      </c>
      <c r="Z7" s="26">
        <f>SUM(K7:N7)</f>
        <v>3018.9949999999999</v>
      </c>
    </row>
    <row r="8" spans="2:40" s="2" customFormat="1" x14ac:dyDescent="0.2">
      <c r="B8" s="2" t="s">
        <v>63</v>
      </c>
      <c r="C8" s="20">
        <f>C6-C7</f>
        <v>324.92099999999994</v>
      </c>
      <c r="D8" s="20">
        <f>D6-D7</f>
        <v>382.57099999999991</v>
      </c>
      <c r="G8" s="20">
        <f t="shared" ref="G8:P8" si="2">G6-G7</f>
        <v>28.30600000000004</v>
      </c>
      <c r="H8" s="20">
        <f t="shared" si="2"/>
        <v>265.19899999999996</v>
      </c>
      <c r="I8" s="20">
        <f t="shared" si="2"/>
        <v>414.77699999999993</v>
      </c>
      <c r="J8" s="20">
        <f t="shared" si="2"/>
        <v>439.79800000000012</v>
      </c>
      <c r="K8" s="20">
        <f t="shared" si="2"/>
        <v>436.19000000000005</v>
      </c>
      <c r="L8" s="20">
        <f t="shared" si="2"/>
        <v>502.39099999999996</v>
      </c>
      <c r="M8" s="20">
        <f t="shared" si="2"/>
        <v>564.524</v>
      </c>
      <c r="N8" s="20">
        <f t="shared" si="2"/>
        <v>488.68499999999995</v>
      </c>
      <c r="O8" s="20">
        <f t="shared" si="2"/>
        <v>388.02600000000007</v>
      </c>
      <c r="P8" s="20">
        <f t="shared" si="2"/>
        <v>370.01700000000005</v>
      </c>
      <c r="Y8" s="20">
        <f>Y6-Y7</f>
        <v>1148.08</v>
      </c>
      <c r="Z8" s="20">
        <f>Z6-Z7</f>
        <v>1991.79</v>
      </c>
    </row>
    <row r="9" spans="2:40" x14ac:dyDescent="0.2">
      <c r="B9" s="1" t="s">
        <v>64</v>
      </c>
      <c r="C9" s="26">
        <v>230.74100000000001</v>
      </c>
      <c r="D9" s="26">
        <v>253.05099999999999</v>
      </c>
      <c r="G9" s="26">
        <v>188.197</v>
      </c>
      <c r="H9" s="26">
        <v>223.71100000000001</v>
      </c>
      <c r="I9" s="26">
        <v>273.29700000000003</v>
      </c>
      <c r="J9" s="26">
        <v>292.05900000000003</v>
      </c>
      <c r="K9" s="26">
        <v>264.49200000000002</v>
      </c>
      <c r="L9" s="26">
        <v>293.93900000000002</v>
      </c>
      <c r="M9" s="26">
        <v>313.89</v>
      </c>
      <c r="N9" s="26">
        <v>349.68</v>
      </c>
      <c r="O9" s="26">
        <v>298.755</v>
      </c>
      <c r="P9" s="26">
        <v>307.83199999999999</v>
      </c>
      <c r="Y9" s="26">
        <f t="shared" ref="Y9:Y16" si="3">SUM(G9:J9)</f>
        <v>977.26400000000012</v>
      </c>
      <c r="Z9" s="26">
        <f t="shared" ref="Z9:Z16" si="4">SUM(K9:N9)</f>
        <v>1222.001</v>
      </c>
    </row>
    <row r="10" spans="2:40" x14ac:dyDescent="0.2">
      <c r="B10" s="1" t="s">
        <v>65</v>
      </c>
      <c r="C10" s="26">
        <f>1.543+44.791</f>
        <v>46.333999999999996</v>
      </c>
      <c r="D10" s="26">
        <f>2.728+44.87</f>
        <v>47.597999999999999</v>
      </c>
      <c r="G10" s="26">
        <f>42.73+155.619</f>
        <v>198.34899999999999</v>
      </c>
      <c r="H10" s="26">
        <f>14.611+39.114</f>
        <v>53.724999999999994</v>
      </c>
      <c r="I10" s="26">
        <f>6.955+38.974</f>
        <v>45.928999999999995</v>
      </c>
      <c r="J10" s="26">
        <f>102.639+41.583</f>
        <v>144.22199999999998</v>
      </c>
      <c r="K10" s="26">
        <v>38.271000000000001</v>
      </c>
      <c r="L10" s="26">
        <v>40.456000000000003</v>
      </c>
      <c r="M10" s="26">
        <v>40.947000000000003</v>
      </c>
      <c r="N10" s="26">
        <f>11.944+47.107</f>
        <v>59.051000000000002</v>
      </c>
      <c r="O10" s="26">
        <v>47.369</v>
      </c>
      <c r="P10" s="26">
        <v>48.170999999999999</v>
      </c>
      <c r="Y10" s="26">
        <f t="shared" si="3"/>
        <v>442.22499999999997</v>
      </c>
      <c r="Z10" s="26">
        <f t="shared" si="4"/>
        <v>178.72500000000002</v>
      </c>
    </row>
    <row r="11" spans="2:40" s="2" customFormat="1" x14ac:dyDescent="0.2">
      <c r="B11" s="2" t="s">
        <v>66</v>
      </c>
      <c r="C11" s="20">
        <f>C8-C9-C10</f>
        <v>47.845999999999925</v>
      </c>
      <c r="D11" s="20">
        <f>D8-D9-D10</f>
        <v>81.921999999999926</v>
      </c>
      <c r="G11" s="20">
        <f t="shared" ref="G11:P11" si="5">G8-G9-G10</f>
        <v>-358.23999999999995</v>
      </c>
      <c r="H11" s="20">
        <f t="shared" si="5"/>
        <v>-12.237000000000052</v>
      </c>
      <c r="I11" s="20">
        <f t="shared" si="5"/>
        <v>95.550999999999902</v>
      </c>
      <c r="J11" s="20">
        <f t="shared" si="5"/>
        <v>3.5170000000001096</v>
      </c>
      <c r="K11" s="20">
        <f t="shared" si="5"/>
        <v>133.42700000000002</v>
      </c>
      <c r="L11" s="20">
        <f t="shared" si="5"/>
        <v>167.99599999999992</v>
      </c>
      <c r="M11" s="20">
        <f t="shared" si="5"/>
        <v>209.68700000000001</v>
      </c>
      <c r="N11" s="20">
        <f t="shared" si="5"/>
        <v>79.953999999999937</v>
      </c>
      <c r="O11" s="20">
        <f t="shared" si="5"/>
        <v>41.902000000000072</v>
      </c>
      <c r="P11" s="20">
        <f t="shared" si="5"/>
        <v>14.01400000000006</v>
      </c>
      <c r="Y11" s="20">
        <f>Y8-Y9-Y10</f>
        <v>-271.40900000000016</v>
      </c>
      <c r="Z11" s="20">
        <f>Z8-Z9-Z10</f>
        <v>591.06399999999996</v>
      </c>
    </row>
    <row r="12" spans="2:40" x14ac:dyDescent="0.2">
      <c r="B12" s="1" t="s">
        <v>135</v>
      </c>
      <c r="C12" s="26">
        <v>0</v>
      </c>
      <c r="D12" s="26">
        <v>0</v>
      </c>
      <c r="E12" s="1">
        <v>0</v>
      </c>
      <c r="F12" s="1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60.066000000000003</v>
      </c>
      <c r="Y12" s="26">
        <v>0</v>
      </c>
      <c r="Z12" s="26">
        <v>0</v>
      </c>
    </row>
    <row r="13" spans="2:40" x14ac:dyDescent="0.2">
      <c r="B13" s="1" t="s">
        <v>67</v>
      </c>
      <c r="C13" s="26">
        <v>0</v>
      </c>
      <c r="D13" s="26">
        <v>0</v>
      </c>
      <c r="G13" s="26">
        <v>0</v>
      </c>
      <c r="H13" s="26">
        <v>8.5470000000000006</v>
      </c>
      <c r="I13" s="26">
        <v>7.9240000000000004</v>
      </c>
      <c r="J13" s="26">
        <v>7.9930000000000003</v>
      </c>
      <c r="K13" s="26">
        <v>8.5060000000000002</v>
      </c>
      <c r="L13" s="26">
        <v>8.9209999999999994</v>
      </c>
      <c r="M13" s="26">
        <v>8.6120000000000001</v>
      </c>
      <c r="N13" s="26">
        <v>8.5950000000000006</v>
      </c>
      <c r="O13" s="26">
        <v>4.5880000000000001</v>
      </c>
      <c r="P13" s="26">
        <v>3.4209999999999998</v>
      </c>
      <c r="Q13" s="26"/>
      <c r="Y13" s="26">
        <f t="shared" si="3"/>
        <v>24.463999999999999</v>
      </c>
      <c r="Z13" s="26">
        <f t="shared" si="4"/>
        <v>34.634</v>
      </c>
    </row>
    <row r="14" spans="2:40" x14ac:dyDescent="0.2">
      <c r="B14" s="1" t="s">
        <v>68</v>
      </c>
      <c r="C14" s="26">
        <v>-4.1820000000000004</v>
      </c>
      <c r="D14" s="26">
        <v>-3.99</v>
      </c>
      <c r="G14" s="26">
        <v>3.129</v>
      </c>
      <c r="H14" s="26">
        <v>-1.554</v>
      </c>
      <c r="I14" s="26">
        <v>-2.2229999999999999</v>
      </c>
      <c r="J14" s="26">
        <v>-2.8889999999999998</v>
      </c>
      <c r="K14" s="26">
        <v>-1.86</v>
      </c>
      <c r="L14" s="26">
        <v>-1.363</v>
      </c>
      <c r="M14" s="26">
        <v>-3.13</v>
      </c>
      <c r="N14" s="26">
        <v>3.8650000000000002</v>
      </c>
      <c r="O14" s="26">
        <v>-4.444</v>
      </c>
      <c r="P14" s="26">
        <v>-1.839</v>
      </c>
      <c r="Y14" s="26">
        <f t="shared" si="3"/>
        <v>-3.5369999999999999</v>
      </c>
      <c r="Z14" s="26">
        <f t="shared" si="4"/>
        <v>-2.4879999999999995</v>
      </c>
    </row>
    <row r="15" spans="2:40" x14ac:dyDescent="0.2">
      <c r="B15" s="1" t="s">
        <v>69</v>
      </c>
      <c r="C15" s="26">
        <f t="shared" ref="C15" si="6">C11-C12-C13-C14</f>
        <v>52.027999999999928</v>
      </c>
      <c r="D15" s="26">
        <f t="shared" ref="D15" si="7">D11-D12-D13-D14</f>
        <v>85.911999999999921</v>
      </c>
      <c r="G15" s="26">
        <f t="shared" ref="G15:O15" si="8">G11-G12-G13-G14</f>
        <v>-361.36899999999997</v>
      </c>
      <c r="H15" s="26">
        <f t="shared" si="8"/>
        <v>-19.230000000000054</v>
      </c>
      <c r="I15" s="26">
        <f t="shared" si="8"/>
        <v>89.849999999999895</v>
      </c>
      <c r="J15" s="26">
        <f t="shared" si="8"/>
        <v>-1.5869999999998909</v>
      </c>
      <c r="K15" s="26">
        <f t="shared" si="8"/>
        <v>126.78100000000002</v>
      </c>
      <c r="L15" s="26">
        <f t="shared" si="8"/>
        <v>160.43799999999993</v>
      </c>
      <c r="M15" s="26">
        <f t="shared" si="8"/>
        <v>204.20500000000001</v>
      </c>
      <c r="N15" s="26">
        <f t="shared" si="8"/>
        <v>67.493999999999943</v>
      </c>
      <c r="O15" s="26">
        <f t="shared" si="8"/>
        <v>41.758000000000074</v>
      </c>
      <c r="P15" s="26">
        <f>P11-P12-P13-P14</f>
        <v>-47.633999999999943</v>
      </c>
      <c r="Y15" s="26">
        <f>Y11-Y12-Y13-Y14</f>
        <v>-292.33600000000018</v>
      </c>
      <c r="Z15" s="26">
        <f>Z11-Z12-Z13-Z14</f>
        <v>558.91799999999989</v>
      </c>
    </row>
    <row r="16" spans="2:40" x14ac:dyDescent="0.2">
      <c r="B16" s="1" t="s">
        <v>70</v>
      </c>
      <c r="C16" s="26">
        <v>11.276</v>
      </c>
      <c r="D16" s="26">
        <v>20.931000000000001</v>
      </c>
      <c r="G16" s="26">
        <v>-104.20699999999999</v>
      </c>
      <c r="H16" s="26">
        <v>-5.4779999999999998</v>
      </c>
      <c r="I16" s="26">
        <v>31.742000000000001</v>
      </c>
      <c r="J16" s="26">
        <v>-5.056</v>
      </c>
      <c r="K16" s="26">
        <v>31.318000000000001</v>
      </c>
      <c r="L16" s="26">
        <v>38.927</v>
      </c>
      <c r="M16" s="26">
        <v>51.981000000000002</v>
      </c>
      <c r="N16" s="26">
        <v>17.065999999999999</v>
      </c>
      <c r="O16" s="26">
        <v>10.018000000000001</v>
      </c>
      <c r="P16" s="1">
        <v>-5.1680000000000001</v>
      </c>
      <c r="Q16" s="26"/>
      <c r="Y16" s="26">
        <f t="shared" si="3"/>
        <v>-82.998999999999981</v>
      </c>
      <c r="Z16" s="26">
        <f t="shared" si="4"/>
        <v>139.292</v>
      </c>
    </row>
    <row r="17" spans="2:26" s="2" customFormat="1" x14ac:dyDescent="0.2">
      <c r="B17" s="2" t="s">
        <v>71</v>
      </c>
      <c r="C17" s="20">
        <f>C15-C16</f>
        <v>40.751999999999924</v>
      </c>
      <c r="D17" s="20">
        <f>D15-D16</f>
        <v>64.980999999999923</v>
      </c>
      <c r="G17" s="20">
        <f t="shared" ref="G17:P17" si="9">G15-G16</f>
        <v>-257.16199999999998</v>
      </c>
      <c r="H17" s="20">
        <f t="shared" si="9"/>
        <v>-13.752000000000054</v>
      </c>
      <c r="I17" s="20">
        <f t="shared" si="9"/>
        <v>58.10799999999989</v>
      </c>
      <c r="J17" s="20">
        <f t="shared" si="9"/>
        <v>3.4690000000001091</v>
      </c>
      <c r="K17" s="20">
        <f t="shared" si="9"/>
        <v>95.463000000000022</v>
      </c>
      <c r="L17" s="20">
        <f t="shared" si="9"/>
        <v>121.51099999999994</v>
      </c>
      <c r="M17" s="20">
        <f t="shared" si="9"/>
        <v>152.22400000000002</v>
      </c>
      <c r="N17" s="20">
        <f t="shared" si="9"/>
        <v>50.42799999999994</v>
      </c>
      <c r="O17" s="20">
        <f t="shared" si="9"/>
        <v>31.740000000000073</v>
      </c>
      <c r="P17" s="20">
        <f t="shared" si="9"/>
        <v>-42.465999999999944</v>
      </c>
      <c r="Y17" s="20">
        <f>Y15-Y16</f>
        <v>-209.33700000000022</v>
      </c>
      <c r="Z17" s="20">
        <f>Z15-Z16</f>
        <v>419.62599999999986</v>
      </c>
    </row>
    <row r="18" spans="2:26" x14ac:dyDescent="0.2">
      <c r="B18" s="1" t="s">
        <v>72</v>
      </c>
      <c r="C18" s="31">
        <f>C17/C19</f>
        <v>0.2341086785429097</v>
      </c>
      <c r="D18" s="31">
        <f>D17/D19</f>
        <v>0.37827815648994895</v>
      </c>
      <c r="G18" s="31">
        <f t="shared" ref="G18:P18" si="10">G17/G19</f>
        <v>-1.5419142468266767</v>
      </c>
      <c r="H18" s="31">
        <f t="shared" si="10"/>
        <v>-8.2686468448426503E-2</v>
      </c>
      <c r="I18" s="31">
        <f t="shared" si="10"/>
        <v>0.34965851310286661</v>
      </c>
      <c r="J18" s="31">
        <f t="shared" si="10"/>
        <v>2.0858637484216878E-2</v>
      </c>
      <c r="K18" s="31">
        <f t="shared" si="10"/>
        <v>0.57075638089885639</v>
      </c>
      <c r="L18" s="31">
        <f t="shared" si="10"/>
        <v>0.7254777868661596</v>
      </c>
      <c r="M18" s="31">
        <f t="shared" si="10"/>
        <v>0.9080572904549713</v>
      </c>
      <c r="N18" s="31">
        <f t="shared" si="10"/>
        <v>0.30086330849407222</v>
      </c>
      <c r="O18" s="31">
        <f t="shared" si="10"/>
        <v>0.18841267956785035</v>
      </c>
      <c r="P18" s="31">
        <f t="shared" si="10"/>
        <v>-0.23567476372031559</v>
      </c>
      <c r="Y18" s="31">
        <f>Y17/Y19</f>
        <v>-1.2587156514941988</v>
      </c>
      <c r="Z18" s="31">
        <f>Z17/Z19</f>
        <v>2.5035707680283505</v>
      </c>
    </row>
    <row r="19" spans="2:26" x14ac:dyDescent="0.2">
      <c r="B19" s="1" t="s">
        <v>4</v>
      </c>
      <c r="C19" s="40">
        <v>174.07300000000001</v>
      </c>
      <c r="D19" s="40">
        <v>171.78100000000001</v>
      </c>
      <c r="G19" s="26">
        <v>166.78100000000001</v>
      </c>
      <c r="H19" s="40">
        <v>166.315</v>
      </c>
      <c r="I19" s="26">
        <v>166.185</v>
      </c>
      <c r="J19" s="26">
        <v>166.31</v>
      </c>
      <c r="K19" s="26">
        <v>167.25700000000001</v>
      </c>
      <c r="L19" s="26">
        <v>167.49100000000001</v>
      </c>
      <c r="M19" s="26">
        <v>167.637</v>
      </c>
      <c r="N19" s="26">
        <v>167.61099999999999</v>
      </c>
      <c r="O19" s="26">
        <v>168.46</v>
      </c>
      <c r="P19" s="26">
        <v>180.18899999999999</v>
      </c>
      <c r="Y19" s="26">
        <f>J19</f>
        <v>166.31</v>
      </c>
      <c r="Z19" s="26">
        <f>N19</f>
        <v>167.61099999999999</v>
      </c>
    </row>
    <row r="21" spans="2:26" s="2" customFormat="1" x14ac:dyDescent="0.2">
      <c r="B21" s="2" t="s">
        <v>73</v>
      </c>
      <c r="G21" s="28">
        <f>G6/C6-1</f>
        <v>-0.37752654323077095</v>
      </c>
      <c r="H21" s="28">
        <f>H6/D6-1</f>
        <v>-0.15118856274360415</v>
      </c>
      <c r="L21" s="28">
        <f>L6/H6-1</f>
        <v>0.35160439610191174</v>
      </c>
      <c r="M21" s="28">
        <f>M6/I6-1</f>
        <v>0.23503005475869432</v>
      </c>
      <c r="N21" s="28">
        <f>N6/J6-1</f>
        <v>0.16692887549942825</v>
      </c>
      <c r="O21" s="28">
        <f>O6/K6-1</f>
        <v>1.973972901971166E-2</v>
      </c>
      <c r="P21" s="28">
        <f t="shared" ref="P21" si="11">P6/L6-1</f>
        <v>3.3228489410095374E-3</v>
      </c>
      <c r="Z21" s="28">
        <f>Z6/Y6-1</f>
        <v>0.33299379683036578</v>
      </c>
    </row>
    <row r="22" spans="2:26" x14ac:dyDescent="0.2">
      <c r="B22" s="1" t="s">
        <v>74</v>
      </c>
      <c r="D22" s="29">
        <f>D6/C6-1</f>
        <v>0.17442259305644869</v>
      </c>
      <c r="H22" s="29">
        <f t="shared" ref="H22:O22" si="12">H6/G6-1</f>
        <v>0.60145515976305619</v>
      </c>
      <c r="I22" s="29">
        <f t="shared" si="12"/>
        <v>0.16763477493180612</v>
      </c>
      <c r="J22" s="29">
        <f t="shared" si="12"/>
        <v>0.25262282416827198</v>
      </c>
      <c r="K22" s="29">
        <f t="shared" si="12"/>
        <v>-0.19935584073076951</v>
      </c>
      <c r="L22" s="29">
        <f t="shared" si="12"/>
        <v>0.15420436993893372</v>
      </c>
      <c r="M22" s="29">
        <f t="shared" si="12"/>
        <v>6.692760409862708E-2</v>
      </c>
      <c r="N22" s="29">
        <f t="shared" si="12"/>
        <v>0.18355155649811072</v>
      </c>
      <c r="O22" s="29">
        <f t="shared" si="12"/>
        <v>-0.3003441125192895</v>
      </c>
      <c r="P22" s="29">
        <f t="shared" ref="P22" si="13">P6/O6-1</f>
        <v>0.13562273171462236</v>
      </c>
    </row>
    <row r="24" spans="2:26" x14ac:dyDescent="0.2">
      <c r="B24" s="1" t="s">
        <v>75</v>
      </c>
      <c r="C24" s="29">
        <f>C8/C6</f>
        <v>0.36660799512574888</v>
      </c>
      <c r="D24" s="29">
        <f>D8/D6</f>
        <v>0.36754608364661018</v>
      </c>
      <c r="G24" s="29">
        <f t="shared" ref="G24:O24" si="14">G8/G6</f>
        <v>5.130761366849626E-2</v>
      </c>
      <c r="H24" s="29">
        <f t="shared" si="14"/>
        <v>0.30016524996887411</v>
      </c>
      <c r="I24" s="29">
        <f t="shared" si="14"/>
        <v>0.4020649136258902</v>
      </c>
      <c r="J24" s="29">
        <f t="shared" si="14"/>
        <v>0.34034113201473121</v>
      </c>
      <c r="K24" s="29">
        <f t="shared" si="14"/>
        <v>0.42159684674670944</v>
      </c>
      <c r="L24" s="29">
        <f t="shared" si="14"/>
        <v>0.42070801469824709</v>
      </c>
      <c r="M24" s="29">
        <f t="shared" si="14"/>
        <v>0.44308433235641775</v>
      </c>
      <c r="N24" s="29">
        <f t="shared" si="14"/>
        <v>0.32407521003861567</v>
      </c>
      <c r="O24" s="29">
        <f t="shared" si="14"/>
        <v>0.36778425780328089</v>
      </c>
      <c r="P24" s="29">
        <f t="shared" ref="P24" si="15">P8/P6</f>
        <v>0.30883030470969619</v>
      </c>
      <c r="Y24" s="29">
        <f>Y8/Y6</f>
        <v>0.30541791720558881</v>
      </c>
      <c r="Z24" s="29">
        <f>Z8/Z6</f>
        <v>0.39750059122472825</v>
      </c>
    </row>
    <row r="25" spans="2:26" x14ac:dyDescent="0.2">
      <c r="B25" s="1" t="s">
        <v>76</v>
      </c>
      <c r="C25" s="29">
        <f>C11/C6</f>
        <v>5.3984587437520368E-2</v>
      </c>
      <c r="D25" s="29">
        <f>D11/D6</f>
        <v>7.8704633295512666E-2</v>
      </c>
      <c r="G25" s="29">
        <f t="shared" ref="G25:O25" si="16">G11/G6</f>
        <v>-0.64934782451077766</v>
      </c>
      <c r="H25" s="29">
        <f t="shared" si="16"/>
        <v>-1.3850437459677935E-2</v>
      </c>
      <c r="I25" s="29">
        <f t="shared" si="16"/>
        <v>9.2622552749712247E-2</v>
      </c>
      <c r="J25" s="29">
        <f t="shared" si="16"/>
        <v>2.7216580368620291E-3</v>
      </c>
      <c r="K25" s="29">
        <f t="shared" si="16"/>
        <v>0.12896307221823794</v>
      </c>
      <c r="L25" s="29">
        <f t="shared" si="16"/>
        <v>0.14068178696920663</v>
      </c>
      <c r="M25" s="29">
        <f t="shared" si="16"/>
        <v>0.16457940565648257</v>
      </c>
      <c r="N25" s="29">
        <f t="shared" si="16"/>
        <v>5.3022109013838074E-2</v>
      </c>
      <c r="O25" s="29">
        <f t="shared" si="16"/>
        <v>3.9716142656608319E-2</v>
      </c>
      <c r="P25" s="29">
        <f t="shared" ref="P25" si="17">P11/P6</f>
        <v>1.1696619047778077E-2</v>
      </c>
      <c r="Y25" s="29">
        <f>Y11/Y6</f>
        <v>-7.220156390743826E-2</v>
      </c>
      <c r="Z25" s="29">
        <f>Z11/Z6</f>
        <v>0.11795836380926342</v>
      </c>
    </row>
    <row r="26" spans="2:26" x14ac:dyDescent="0.2">
      <c r="B26" s="1" t="s">
        <v>77</v>
      </c>
      <c r="C26" s="29">
        <f>C17/C6</f>
        <v>4.5980435297701572E-2</v>
      </c>
      <c r="D26" s="29">
        <f>D17/D6</f>
        <v>6.2428966287147621E-2</v>
      </c>
      <c r="G26" s="29">
        <f t="shared" ref="G26:O26" si="18">G17/G6</f>
        <v>-0.46613327726340054</v>
      </c>
      <c r="H26" s="29">
        <f t="shared" si="18"/>
        <v>-1.5565188849022709E-2</v>
      </c>
      <c r="I26" s="29">
        <f t="shared" si="18"/>
        <v>5.6327105892981497E-2</v>
      </c>
      <c r="J26" s="29">
        <f t="shared" si="18"/>
        <v>2.6845128603566627E-3</v>
      </c>
      <c r="K26" s="29">
        <f t="shared" si="18"/>
        <v>9.2269194114906639E-2</v>
      </c>
      <c r="L26" s="29">
        <f t="shared" si="18"/>
        <v>0.10175471211466504</v>
      </c>
      <c r="M26" s="29">
        <f t="shared" si="18"/>
        <v>0.11947777137663473</v>
      </c>
      <c r="N26" s="29">
        <f t="shared" si="18"/>
        <v>3.3441715403229676E-2</v>
      </c>
      <c r="O26" s="29">
        <f t="shared" si="18"/>
        <v>3.0084252969327211E-2</v>
      </c>
      <c r="P26" s="29">
        <f t="shared" ref="P26" si="19">P17/P6</f>
        <v>-3.5443743719347866E-2</v>
      </c>
      <c r="Y26" s="29">
        <f>Y17/Y6</f>
        <v>-5.5688863610607639E-2</v>
      </c>
      <c r="Z26" s="29">
        <f>Z17/Z6</f>
        <v>8.3744562977657172E-2</v>
      </c>
    </row>
    <row r="27" spans="2:26" x14ac:dyDescent="0.2">
      <c r="B27" s="1" t="s">
        <v>78</v>
      </c>
      <c r="C27" s="29">
        <f>C16/C15</f>
        <v>0.21672945337126193</v>
      </c>
      <c r="D27" s="29">
        <f>D16/D15</f>
        <v>0.24363301983424923</v>
      </c>
      <c r="G27" s="29">
        <f t="shared" ref="G27:L27" si="20">G16/G15</f>
        <v>0.28836729215843088</v>
      </c>
      <c r="H27" s="29">
        <f t="shared" si="20"/>
        <v>0.28486739469578704</v>
      </c>
      <c r="I27" s="29">
        <f t="shared" si="20"/>
        <v>0.35327768503060697</v>
      </c>
      <c r="J27" s="29">
        <f t="shared" si="20"/>
        <v>3.185885318210679</v>
      </c>
      <c r="K27" s="29">
        <f t="shared" si="20"/>
        <v>0.24702439640009147</v>
      </c>
      <c r="L27" s="29">
        <f t="shared" si="20"/>
        <v>0.24262955160248828</v>
      </c>
      <c r="M27" s="29">
        <f t="shared" ref="M27" si="21">M16/M15</f>
        <v>0.25455302269777919</v>
      </c>
      <c r="N27" s="29">
        <f>N16/N15</f>
        <v>0.25285210537232961</v>
      </c>
      <c r="O27" s="29">
        <f>O16/O15</f>
        <v>0.23990612577230669</v>
      </c>
      <c r="P27" s="29">
        <f t="shared" ref="P27" si="22">P16/P15</f>
        <v>0.10849393290506794</v>
      </c>
      <c r="Y27" s="29">
        <f>Y16/Y15</f>
        <v>0.28391645230146106</v>
      </c>
      <c r="Z27" s="29">
        <f>Z16/Z15</f>
        <v>0.24921723759120307</v>
      </c>
    </row>
    <row r="29" spans="2:26" x14ac:dyDescent="0.2">
      <c r="B29" s="2" t="s">
        <v>122</v>
      </c>
    </row>
    <row r="30" spans="2:26" s="18" customFormat="1" x14ac:dyDescent="0.2">
      <c r="B30" s="38" t="s">
        <v>123</v>
      </c>
      <c r="C30" s="18">
        <v>785</v>
      </c>
      <c r="D30" s="18">
        <v>781</v>
      </c>
      <c r="E30" s="18">
        <v>775</v>
      </c>
      <c r="F30" s="18">
        <v>766</v>
      </c>
      <c r="G30" s="18">
        <v>767</v>
      </c>
      <c r="H30" s="18">
        <v>760</v>
      </c>
      <c r="I30" s="18">
        <v>758</v>
      </c>
      <c r="J30" s="18">
        <v>722</v>
      </c>
      <c r="K30" s="18">
        <v>713</v>
      </c>
      <c r="L30" s="18">
        <v>711</v>
      </c>
      <c r="M30" s="18">
        <v>716</v>
      </c>
      <c r="N30" s="18">
        <v>695</v>
      </c>
      <c r="O30" s="18">
        <v>689</v>
      </c>
      <c r="P30" s="18">
        <v>686</v>
      </c>
    </row>
    <row r="31" spans="2:26" s="18" customFormat="1" x14ac:dyDescent="0.2">
      <c r="B31" s="38" t="s">
        <v>124</v>
      </c>
      <c r="C31" s="18">
        <v>119</v>
      </c>
      <c r="D31" s="18">
        <v>131</v>
      </c>
      <c r="E31" s="18">
        <v>142</v>
      </c>
      <c r="F31" s="18">
        <v>148</v>
      </c>
      <c r="G31" s="18">
        <v>148</v>
      </c>
      <c r="H31" s="18">
        <v>160</v>
      </c>
      <c r="I31" s="18">
        <v>166</v>
      </c>
      <c r="J31" s="18">
        <v>171</v>
      </c>
      <c r="K31" s="18">
        <v>174</v>
      </c>
      <c r="L31" s="18">
        <v>186</v>
      </c>
      <c r="M31" s="18">
        <v>203</v>
      </c>
      <c r="N31" s="18">
        <v>212</v>
      </c>
      <c r="O31" s="18">
        <v>217</v>
      </c>
      <c r="P31" s="18">
        <v>224</v>
      </c>
    </row>
    <row r="32" spans="2:26" s="18" customFormat="1" x14ac:dyDescent="0.2">
      <c r="B32" s="38" t="s">
        <v>125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4</v>
      </c>
      <c r="K32" s="18">
        <v>5</v>
      </c>
      <c r="L32" s="18">
        <v>5</v>
      </c>
      <c r="M32" s="18">
        <v>8</v>
      </c>
      <c r="N32" s="18">
        <v>20</v>
      </c>
      <c r="O32" s="18">
        <v>19</v>
      </c>
      <c r="P32" s="18">
        <v>31</v>
      </c>
    </row>
    <row r="33" spans="2:26" s="18" customFormat="1" x14ac:dyDescent="0.2">
      <c r="B33" s="38" t="s">
        <v>126</v>
      </c>
      <c r="C33" s="18">
        <v>151</v>
      </c>
      <c r="D33" s="18">
        <v>158</v>
      </c>
      <c r="E33" s="18">
        <v>170</v>
      </c>
      <c r="F33" s="18">
        <v>174</v>
      </c>
      <c r="G33" s="18">
        <v>175</v>
      </c>
      <c r="H33" s="18">
        <v>175</v>
      </c>
      <c r="I33" s="18">
        <v>177</v>
      </c>
      <c r="J33" s="18">
        <v>178</v>
      </c>
      <c r="K33" s="18">
        <v>177</v>
      </c>
      <c r="L33" s="18">
        <v>182</v>
      </c>
      <c r="M33" s="18">
        <v>181</v>
      </c>
      <c r="N33" s="18">
        <v>181</v>
      </c>
      <c r="O33" s="18">
        <v>185</v>
      </c>
      <c r="P33" s="18">
        <v>183</v>
      </c>
    </row>
    <row r="34" spans="2:26" s="18" customFormat="1" x14ac:dyDescent="0.2">
      <c r="B34" s="38" t="s">
        <v>127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1</v>
      </c>
      <c r="K34" s="18">
        <v>1</v>
      </c>
      <c r="L34" s="18">
        <v>1</v>
      </c>
      <c r="M34" s="18">
        <v>1</v>
      </c>
      <c r="N34" s="18">
        <v>2</v>
      </c>
      <c r="O34" s="18">
        <v>2</v>
      </c>
      <c r="P34" s="18">
        <v>2</v>
      </c>
    </row>
    <row r="35" spans="2:26" s="18" customFormat="1" x14ac:dyDescent="0.2">
      <c r="B35" s="38" t="s">
        <v>130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2</v>
      </c>
      <c r="O35" s="18">
        <v>2</v>
      </c>
      <c r="P35" s="18">
        <v>2</v>
      </c>
    </row>
    <row r="36" spans="2:26" s="18" customFormat="1" x14ac:dyDescent="0.2">
      <c r="B36" s="38" t="s">
        <v>128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5</v>
      </c>
      <c r="N36" s="18">
        <v>12</v>
      </c>
      <c r="O36" s="18">
        <v>18</v>
      </c>
      <c r="P36" s="18">
        <v>21</v>
      </c>
    </row>
    <row r="37" spans="2:26" s="18" customFormat="1" x14ac:dyDescent="0.2">
      <c r="B37" s="38" t="s">
        <v>131</v>
      </c>
      <c r="C37" s="18">
        <f t="shared" ref="C37:M37" si="23">C38-SUM(C30:C36)</f>
        <v>6</v>
      </c>
      <c r="D37" s="18">
        <f t="shared" si="23"/>
        <v>5</v>
      </c>
      <c r="E37" s="18">
        <f t="shared" si="23"/>
        <v>7</v>
      </c>
      <c r="F37" s="18">
        <f t="shared" si="23"/>
        <v>7</v>
      </c>
      <c r="G37" s="18">
        <f t="shared" si="23"/>
        <v>3</v>
      </c>
      <c r="H37" s="18">
        <f t="shared" si="23"/>
        <v>3</v>
      </c>
      <c r="I37" s="18">
        <f t="shared" si="23"/>
        <v>3</v>
      </c>
      <c r="J37" s="18">
        <f t="shared" si="23"/>
        <v>2</v>
      </c>
      <c r="K37" s="18">
        <f t="shared" si="23"/>
        <v>4</v>
      </c>
      <c r="L37" s="18">
        <f t="shared" si="23"/>
        <v>5</v>
      </c>
      <c r="M37" s="18">
        <f t="shared" si="23"/>
        <v>7</v>
      </c>
      <c r="N37" s="18">
        <f>N38-SUM(N30:N36)</f>
        <v>9</v>
      </c>
      <c r="O37" s="18">
        <f>O38-SUM(O30:O36)</f>
        <v>9</v>
      </c>
      <c r="P37" s="18">
        <f>P38-SUM(P30:P36)</f>
        <v>11</v>
      </c>
    </row>
    <row r="38" spans="2:26" s="25" customFormat="1" x14ac:dyDescent="0.2">
      <c r="B38" s="25" t="s">
        <v>129</v>
      </c>
      <c r="C38" s="25">
        <v>1061</v>
      </c>
      <c r="D38" s="25">
        <v>1075</v>
      </c>
      <c r="E38" s="25">
        <v>1094</v>
      </c>
      <c r="F38" s="25">
        <v>1095</v>
      </c>
      <c r="G38" s="25">
        <v>1093</v>
      </c>
      <c r="H38" s="25">
        <v>1098</v>
      </c>
      <c r="I38" s="25">
        <v>1105</v>
      </c>
      <c r="J38" s="25">
        <v>1078</v>
      </c>
      <c r="K38" s="25">
        <v>1074</v>
      </c>
      <c r="L38" s="25">
        <v>1090</v>
      </c>
      <c r="M38" s="25">
        <v>1121</v>
      </c>
      <c r="N38" s="25">
        <v>1133</v>
      </c>
      <c r="O38" s="25">
        <v>1141</v>
      </c>
      <c r="P38" s="25">
        <v>1160</v>
      </c>
      <c r="X38" s="25">
        <f>F38</f>
        <v>1095</v>
      </c>
      <c r="Y38" s="25">
        <f>J38</f>
        <v>1078</v>
      </c>
      <c r="Z38" s="25">
        <f>N38</f>
        <v>1133</v>
      </c>
    </row>
    <row r="40" spans="2:26" x14ac:dyDescent="0.2">
      <c r="B40" s="32" t="s">
        <v>79</v>
      </c>
    </row>
    <row r="41" spans="2:26" s="2" customFormat="1" x14ac:dyDescent="0.2">
      <c r="B41" s="2" t="s">
        <v>6</v>
      </c>
      <c r="C41" s="20">
        <v>304.67099999999999</v>
      </c>
      <c r="D41" s="20">
        <v>267.166</v>
      </c>
      <c r="F41" s="20">
        <v>361.93</v>
      </c>
      <c r="G41" s="20">
        <v>855.76900000000001</v>
      </c>
      <c r="H41" s="20">
        <v>898.78700000000003</v>
      </c>
      <c r="I41" s="20">
        <v>692.36500000000001</v>
      </c>
      <c r="J41" s="20">
        <v>850.47699999999998</v>
      </c>
      <c r="K41" s="20">
        <v>716.67899999999997</v>
      </c>
      <c r="L41" s="20">
        <v>773.99400000000003</v>
      </c>
      <c r="M41" s="20">
        <v>740.66800000000001</v>
      </c>
      <c r="N41" s="20">
        <v>434.77</v>
      </c>
      <c r="O41" s="20">
        <v>228.77500000000001</v>
      </c>
      <c r="P41" s="20">
        <v>98.213999999999999</v>
      </c>
      <c r="Z41" s="20">
        <f>N41</f>
        <v>434.77</v>
      </c>
    </row>
    <row r="42" spans="2:26" s="2" customFormat="1" x14ac:dyDescent="0.2">
      <c r="B42" s="2" t="s">
        <v>94</v>
      </c>
      <c r="C42" s="20">
        <v>45</v>
      </c>
      <c r="D42" s="20">
        <v>50</v>
      </c>
      <c r="F42" s="20">
        <v>55</v>
      </c>
      <c r="G42" s="20">
        <v>29.956</v>
      </c>
      <c r="H42" s="20">
        <v>0</v>
      </c>
      <c r="I42" s="20">
        <v>0</v>
      </c>
      <c r="J42" s="20">
        <v>0</v>
      </c>
      <c r="K42" s="20">
        <v>75</v>
      </c>
      <c r="L42" s="20">
        <v>50</v>
      </c>
      <c r="M42" s="20">
        <v>0</v>
      </c>
      <c r="N42" s="20">
        <v>0</v>
      </c>
      <c r="O42" s="20">
        <v>0</v>
      </c>
      <c r="P42" s="20">
        <v>0</v>
      </c>
      <c r="Z42" s="20">
        <f t="shared" ref="Z42:Z43" si="24">N42</f>
        <v>0</v>
      </c>
    </row>
    <row r="43" spans="2:26" s="2" customFormat="1" x14ac:dyDescent="0.2">
      <c r="B43" s="2" t="s">
        <v>95</v>
      </c>
      <c r="C43" s="20">
        <v>456.16</v>
      </c>
      <c r="D43" s="20">
        <v>534.76199999999994</v>
      </c>
      <c r="F43" s="20">
        <v>446.27800000000002</v>
      </c>
      <c r="G43" s="20">
        <v>421.72899999999998</v>
      </c>
      <c r="H43" s="20">
        <v>421.19600000000003</v>
      </c>
      <c r="I43" s="20">
        <v>559.96100000000001</v>
      </c>
      <c r="J43" s="20">
        <v>405.44499999999999</v>
      </c>
      <c r="K43" s="20">
        <v>466.69799999999998</v>
      </c>
      <c r="L43" s="20">
        <v>503.50700000000001</v>
      </c>
      <c r="M43" s="20">
        <v>739.80799999999999</v>
      </c>
      <c r="N43" s="20">
        <v>553.45799999999997</v>
      </c>
      <c r="O43" s="20">
        <v>682.1</v>
      </c>
      <c r="P43" s="20">
        <v>687.04600000000005</v>
      </c>
      <c r="Z43" s="20">
        <f t="shared" si="24"/>
        <v>553.45799999999997</v>
      </c>
    </row>
    <row r="44" spans="2:26" x14ac:dyDescent="0.2">
      <c r="B44" s="1" t="s">
        <v>96</v>
      </c>
      <c r="C44" s="26">
        <v>73.835999999999999</v>
      </c>
      <c r="D44" s="26">
        <v>98.603999999999999</v>
      </c>
      <c r="F44" s="26">
        <v>119.06399999999999</v>
      </c>
      <c r="G44" s="26">
        <v>106.751</v>
      </c>
      <c r="H44" s="26">
        <v>107.24299999999999</v>
      </c>
      <c r="I44" s="20">
        <v>124.56</v>
      </c>
      <c r="J44" s="26">
        <v>146.102</v>
      </c>
      <c r="K44" s="26">
        <v>149.05600000000001</v>
      </c>
      <c r="L44" s="26">
        <v>155.36099999999999</v>
      </c>
      <c r="M44" s="20">
        <v>228.46100000000001</v>
      </c>
      <c r="N44" s="26">
        <v>286.68299999999999</v>
      </c>
      <c r="O44" s="26">
        <v>230.46899999999999</v>
      </c>
      <c r="P44" s="26">
        <v>220.803</v>
      </c>
      <c r="Z44" s="26">
        <f>N44</f>
        <v>286.68299999999999</v>
      </c>
    </row>
    <row r="45" spans="2:26" x14ac:dyDescent="0.2">
      <c r="B45" s="1" t="s">
        <v>97</v>
      </c>
      <c r="C45" s="26">
        <v>70.936000000000007</v>
      </c>
      <c r="D45" s="26">
        <v>69.540999999999997</v>
      </c>
      <c r="F45" s="26">
        <v>65.658000000000001</v>
      </c>
      <c r="G45" s="26">
        <v>144.733</v>
      </c>
      <c r="H45" s="26">
        <v>155.14099999999999</v>
      </c>
      <c r="I45" s="26">
        <v>130.90899999999999</v>
      </c>
      <c r="J45" s="26">
        <v>120.619</v>
      </c>
      <c r="K45" s="26">
        <v>88.346999999999994</v>
      </c>
      <c r="L45" s="26">
        <v>118.721</v>
      </c>
      <c r="M45" s="26">
        <v>66.593000000000004</v>
      </c>
      <c r="N45" s="26">
        <v>122.01300000000001</v>
      </c>
      <c r="O45" s="26">
        <v>139.19499999999999</v>
      </c>
      <c r="P45" s="26">
        <v>171.32599999999999</v>
      </c>
      <c r="Z45" s="26">
        <f t="shared" ref="Z45:Z52" si="25">N45</f>
        <v>122.01300000000001</v>
      </c>
    </row>
    <row r="46" spans="2:26" x14ac:dyDescent="0.2">
      <c r="B46" s="1" t="s">
        <v>98</v>
      </c>
      <c r="C46" s="26">
        <f>SUM(C41:C45)</f>
        <v>950.60300000000007</v>
      </c>
      <c r="D46" s="26">
        <f>SUM(D41:D45)</f>
        <v>1020.0729999999999</v>
      </c>
      <c r="F46" s="26">
        <f t="shared" ref="F46:P46" si="26">SUM(F41:F45)</f>
        <v>1047.93</v>
      </c>
      <c r="G46" s="26">
        <f t="shared" si="26"/>
        <v>1558.9379999999999</v>
      </c>
      <c r="H46" s="26">
        <f t="shared" si="26"/>
        <v>1582.3670000000002</v>
      </c>
      <c r="I46" s="26">
        <f t="shared" si="26"/>
        <v>1507.7950000000001</v>
      </c>
      <c r="J46" s="26">
        <f t="shared" si="26"/>
        <v>1522.643</v>
      </c>
      <c r="K46" s="26">
        <f t="shared" si="26"/>
        <v>1495.78</v>
      </c>
      <c r="L46" s="26">
        <f t="shared" si="26"/>
        <v>1601.5830000000001</v>
      </c>
      <c r="M46" s="26">
        <f t="shared" si="26"/>
        <v>1775.5300000000002</v>
      </c>
      <c r="N46" s="26">
        <f t="shared" si="26"/>
        <v>1396.924</v>
      </c>
      <c r="O46" s="26">
        <f t="shared" si="26"/>
        <v>1280.539</v>
      </c>
      <c r="P46" s="26">
        <f t="shared" si="26"/>
        <v>1177.3889999999999</v>
      </c>
      <c r="Z46" s="26">
        <f t="shared" si="25"/>
        <v>1396.924</v>
      </c>
    </row>
    <row r="47" spans="2:26" x14ac:dyDescent="0.2">
      <c r="B47" s="1" t="s">
        <v>99</v>
      </c>
      <c r="C47" s="26">
        <v>1444.2249999999999</v>
      </c>
      <c r="D47" s="26">
        <v>1462.5440000000001</v>
      </c>
      <c r="F47" s="26">
        <v>1418.9159999999999</v>
      </c>
      <c r="G47" s="26">
        <v>1292.769</v>
      </c>
      <c r="H47" s="26">
        <v>1271.491</v>
      </c>
      <c r="I47" s="26">
        <v>1243.3109999999999</v>
      </c>
      <c r="J47" s="26">
        <v>1155.9649999999999</v>
      </c>
      <c r="K47" s="26">
        <v>1130.7429999999999</v>
      </c>
      <c r="L47" s="26">
        <v>1103.2470000000001</v>
      </c>
      <c r="M47" s="26">
        <v>1148.1079999999999</v>
      </c>
      <c r="N47" s="26">
        <v>1193.021</v>
      </c>
      <c r="O47" s="26">
        <v>1210.1690000000001</v>
      </c>
      <c r="P47" s="26">
        <v>1210.2850000000001</v>
      </c>
      <c r="Z47" s="26">
        <f t="shared" si="25"/>
        <v>1193.021</v>
      </c>
    </row>
    <row r="48" spans="2:26" x14ac:dyDescent="0.2">
      <c r="B48" s="1" t="s">
        <v>100</v>
      </c>
      <c r="C48" s="26">
        <v>744.67</v>
      </c>
      <c r="D48" s="26">
        <v>754.03099999999995</v>
      </c>
      <c r="F48" s="26">
        <v>735.12</v>
      </c>
      <c r="G48" s="26">
        <v>667.25800000000004</v>
      </c>
      <c r="H48" s="26">
        <v>659.351</v>
      </c>
      <c r="I48" s="26">
        <v>650.39700000000005</v>
      </c>
      <c r="J48" s="26">
        <v>623.80799999999999</v>
      </c>
      <c r="K48" s="26">
        <v>627.96699999999998</v>
      </c>
      <c r="L48" s="26">
        <v>641.39599999999996</v>
      </c>
      <c r="M48" s="26">
        <v>665.40800000000002</v>
      </c>
      <c r="N48" s="26">
        <v>728.27200000000005</v>
      </c>
      <c r="O48" s="26">
        <v>745.16499999999996</v>
      </c>
      <c r="P48" s="26">
        <v>775.96900000000005</v>
      </c>
      <c r="Z48" s="26">
        <f t="shared" si="25"/>
        <v>728.27200000000005</v>
      </c>
    </row>
    <row r="49" spans="2:26" x14ac:dyDescent="0.2">
      <c r="B49" s="1" t="s">
        <v>101</v>
      </c>
      <c r="C49" s="26">
        <v>57.220999999999997</v>
      </c>
      <c r="D49" s="26">
        <v>56.326000000000001</v>
      </c>
      <c r="F49" s="26">
        <f>13.157+39.847</f>
        <v>53.004000000000005</v>
      </c>
      <c r="G49" s="26">
        <v>51.972999999999999</v>
      </c>
      <c r="H49" s="26">
        <v>51.432000000000002</v>
      </c>
      <c r="I49" s="26">
        <v>50.863999999999997</v>
      </c>
      <c r="J49" s="26">
        <f>13.267+57.065</f>
        <v>70.331999999999994</v>
      </c>
      <c r="K49" s="26">
        <f>13.395+56.301</f>
        <v>69.695999999999998</v>
      </c>
      <c r="L49" s="26">
        <v>70.62</v>
      </c>
      <c r="M49" s="26">
        <v>69.331999999999994</v>
      </c>
      <c r="N49" s="26">
        <f>271.416+102.701</f>
        <v>374.11699999999996</v>
      </c>
      <c r="O49" s="26">
        <f>271.398+100.679</f>
        <v>372.077</v>
      </c>
      <c r="P49" s="26">
        <f>271.406+98.651</f>
        <v>370.05700000000002</v>
      </c>
      <c r="Z49" s="26">
        <f t="shared" si="25"/>
        <v>374.11699999999996</v>
      </c>
    </row>
    <row r="50" spans="2:26" x14ac:dyDescent="0.2">
      <c r="B50" s="1" t="s">
        <v>102</v>
      </c>
      <c r="C50" s="26">
        <v>20.951000000000001</v>
      </c>
      <c r="D50" s="26">
        <v>16.759</v>
      </c>
      <c r="F50" s="26">
        <v>22.724</v>
      </c>
      <c r="G50" s="26">
        <v>25.611999999999998</v>
      </c>
      <c r="H50" s="26">
        <v>30.224</v>
      </c>
      <c r="I50" s="26">
        <v>12.773999999999999</v>
      </c>
      <c r="J50" s="26">
        <v>33.045000000000002</v>
      </c>
      <c r="K50" s="26">
        <v>45.994999999999997</v>
      </c>
      <c r="L50" s="26">
        <v>46.6</v>
      </c>
      <c r="M50" s="26">
        <v>57.753</v>
      </c>
      <c r="N50" s="26">
        <v>44.167000000000002</v>
      </c>
      <c r="O50" s="26">
        <v>42.976999999999997</v>
      </c>
      <c r="P50" s="26">
        <v>37.017000000000003</v>
      </c>
      <c r="Z50" s="26">
        <f t="shared" si="25"/>
        <v>44.167000000000002</v>
      </c>
    </row>
    <row r="51" spans="2:26" x14ac:dyDescent="0.2">
      <c r="B51" s="1" t="s">
        <v>103</v>
      </c>
      <c r="C51" s="26">
        <v>37.683</v>
      </c>
      <c r="D51" s="26">
        <v>49.426000000000002</v>
      </c>
      <c r="F51" s="26">
        <v>50.984999999999999</v>
      </c>
      <c r="G51" s="26">
        <v>33.561</v>
      </c>
      <c r="H51" s="26">
        <v>33.110999999999997</v>
      </c>
      <c r="I51" s="26">
        <v>33.082999999999998</v>
      </c>
      <c r="J51" s="26">
        <v>29.013000000000002</v>
      </c>
      <c r="K51" s="26">
        <v>30.484999999999999</v>
      </c>
      <c r="L51" s="26">
        <v>31.576000000000001</v>
      </c>
      <c r="M51" s="26">
        <v>33.884</v>
      </c>
      <c r="N51" s="26">
        <v>50.142000000000003</v>
      </c>
      <c r="O51" s="26">
        <v>50.591000000000001</v>
      </c>
      <c r="P51" s="26">
        <v>58.5</v>
      </c>
      <c r="Z51" s="26">
        <f t="shared" si="25"/>
        <v>50.142000000000003</v>
      </c>
    </row>
    <row r="52" spans="2:26" x14ac:dyDescent="0.2">
      <c r="B52" s="1" t="s">
        <v>104</v>
      </c>
      <c r="C52" s="26">
        <f>C46+SUM(C47:C51)</f>
        <v>3255.3530000000001</v>
      </c>
      <c r="D52" s="26">
        <f>D46+SUM(D47:D51)</f>
        <v>3359.1589999999997</v>
      </c>
      <c r="F52" s="26">
        <f t="shared" ref="F52:P52" si="27">F46+SUM(F47:F51)</f>
        <v>3328.6790000000001</v>
      </c>
      <c r="G52" s="26">
        <f t="shared" si="27"/>
        <v>3630.1109999999999</v>
      </c>
      <c r="H52" s="26">
        <f t="shared" si="27"/>
        <v>3627.9760000000006</v>
      </c>
      <c r="I52" s="26">
        <f t="shared" si="27"/>
        <v>3498.2240000000002</v>
      </c>
      <c r="J52" s="26">
        <f t="shared" si="27"/>
        <v>3434.806</v>
      </c>
      <c r="K52" s="26">
        <f t="shared" si="27"/>
        <v>3400.6659999999997</v>
      </c>
      <c r="L52" s="26">
        <f t="shared" si="27"/>
        <v>3495.0219999999999</v>
      </c>
      <c r="M52" s="26">
        <f t="shared" si="27"/>
        <v>3750.0150000000003</v>
      </c>
      <c r="N52" s="26">
        <f t="shared" si="27"/>
        <v>3786.6429999999996</v>
      </c>
      <c r="O52" s="26">
        <f t="shared" si="27"/>
        <v>3701.518</v>
      </c>
      <c r="P52" s="26">
        <f t="shared" si="27"/>
        <v>3629.2169999999996</v>
      </c>
      <c r="Z52" s="26">
        <f t="shared" si="25"/>
        <v>3786.6429999999996</v>
      </c>
    </row>
    <row r="53" spans="2:26" x14ac:dyDescent="0.2">
      <c r="D53" s="26"/>
      <c r="F53" s="26"/>
      <c r="G53" s="26"/>
      <c r="L53" s="26"/>
      <c r="M53" s="26"/>
      <c r="N53" s="26"/>
    </row>
    <row r="54" spans="2:26" x14ac:dyDescent="0.2">
      <c r="B54" s="1" t="s">
        <v>105</v>
      </c>
      <c r="C54" s="26">
        <v>231.76</v>
      </c>
      <c r="D54" s="26">
        <v>316.995</v>
      </c>
      <c r="F54" s="26">
        <v>285.74599999999998</v>
      </c>
      <c r="G54" s="26">
        <v>177.124</v>
      </c>
      <c r="H54" s="26">
        <v>295.29599999999999</v>
      </c>
      <c r="I54" s="26">
        <v>304.55200000000002</v>
      </c>
      <c r="J54" s="26">
        <v>255.91200000000001</v>
      </c>
      <c r="K54" s="26">
        <v>231.93199999999999</v>
      </c>
      <c r="L54" s="26">
        <v>221.471</v>
      </c>
      <c r="M54" s="26">
        <v>314.56099999999998</v>
      </c>
      <c r="N54" s="26">
        <v>231.78200000000001</v>
      </c>
      <c r="O54" s="26">
        <v>236.376</v>
      </c>
      <c r="P54" s="26">
        <v>198.64500000000001</v>
      </c>
      <c r="Z54" s="26">
        <f>N54</f>
        <v>231.78200000000001</v>
      </c>
    </row>
    <row r="55" spans="2:26" x14ac:dyDescent="0.2">
      <c r="B55" s="1" t="s">
        <v>106</v>
      </c>
      <c r="C55" s="26">
        <v>266.81900000000002</v>
      </c>
      <c r="D55" s="26">
        <v>279.20699999999999</v>
      </c>
      <c r="F55" s="26">
        <v>299.161</v>
      </c>
      <c r="G55" s="26">
        <v>328.36599999999999</v>
      </c>
      <c r="H55" s="26">
        <v>348.92099999999999</v>
      </c>
      <c r="I55" s="26">
        <v>346.32100000000003</v>
      </c>
      <c r="J55" s="26">
        <v>328.62400000000002</v>
      </c>
      <c r="K55" s="26">
        <v>297.56099999999998</v>
      </c>
      <c r="L55" s="26">
        <v>288.53399999999999</v>
      </c>
      <c r="M55" s="26">
        <v>299.69299999999998</v>
      </c>
      <c r="N55" s="26">
        <v>311.005</v>
      </c>
      <c r="O55" s="26">
        <v>317.84399999999999</v>
      </c>
      <c r="P55" s="26">
        <v>328.34800000000001</v>
      </c>
      <c r="Z55" s="26">
        <f t="shared" ref="Z55:Z70" si="28">N55</f>
        <v>311.005</v>
      </c>
    </row>
    <row r="56" spans="2:26" x14ac:dyDescent="0.2">
      <c r="B56" s="1" t="s">
        <v>107</v>
      </c>
      <c r="C56" s="26">
        <v>0</v>
      </c>
      <c r="D56" s="26">
        <v>34.741999999999997</v>
      </c>
      <c r="F56" s="26">
        <v>43.536999999999999</v>
      </c>
      <c r="G56" s="26">
        <v>0</v>
      </c>
      <c r="H56" s="26">
        <v>43.164999999999999</v>
      </c>
      <c r="I56" s="26">
        <v>39.793999999999997</v>
      </c>
      <c r="J56" s="26">
        <v>142.27199999999999</v>
      </c>
      <c r="K56" s="26">
        <v>50.753999999999998</v>
      </c>
      <c r="L56" s="26">
        <v>44.094999999999999</v>
      </c>
      <c r="M56" s="26">
        <v>42.07</v>
      </c>
      <c r="N56" s="26">
        <v>71.364999999999995</v>
      </c>
      <c r="O56" s="26">
        <v>59.256</v>
      </c>
      <c r="P56" s="26">
        <v>51.110999999999997</v>
      </c>
      <c r="Z56" s="26">
        <f t="shared" si="28"/>
        <v>71.364999999999995</v>
      </c>
    </row>
    <row r="57" spans="2:26" x14ac:dyDescent="0.2">
      <c r="B57" s="1" t="s">
        <v>108</v>
      </c>
      <c r="C57" s="26">
        <v>0</v>
      </c>
      <c r="D57" s="26">
        <v>54.683</v>
      </c>
      <c r="F57" s="26">
        <v>56.973999999999997</v>
      </c>
      <c r="G57" s="26">
        <v>0</v>
      </c>
      <c r="H57" s="26">
        <v>66.131</v>
      </c>
      <c r="I57" s="26">
        <v>117.736</v>
      </c>
      <c r="J57" s="26">
        <v>62.180999999999997</v>
      </c>
      <c r="K57" s="26">
        <v>87.488</v>
      </c>
      <c r="L57" s="26">
        <v>133.185</v>
      </c>
      <c r="M57" s="26">
        <v>123.58799999999999</v>
      </c>
      <c r="N57" s="26">
        <v>141.81700000000001</v>
      </c>
      <c r="O57" s="26">
        <v>34.469000000000001</v>
      </c>
      <c r="P57" s="26">
        <v>50.787999999999997</v>
      </c>
      <c r="Z57" s="26">
        <f t="shared" si="28"/>
        <v>141.81700000000001</v>
      </c>
    </row>
    <row r="58" spans="2:26" x14ac:dyDescent="0.2">
      <c r="B58" s="1" t="s">
        <v>109</v>
      </c>
      <c r="C58" s="26">
        <v>0</v>
      </c>
      <c r="D58" s="26">
        <v>279.20699999999999</v>
      </c>
      <c r="F58" s="26">
        <v>9.5139999999999993</v>
      </c>
      <c r="G58" s="26">
        <v>0</v>
      </c>
      <c r="H58" s="26">
        <f>12.783+22.837</f>
        <v>35.619999999999997</v>
      </c>
      <c r="I58" s="26">
        <v>15.503</v>
      </c>
      <c r="J58" s="26">
        <v>14.15</v>
      </c>
      <c r="K58" s="26">
        <v>20.5</v>
      </c>
      <c r="L58" s="26">
        <v>25.364999999999998</v>
      </c>
      <c r="M58" s="26">
        <v>33.57</v>
      </c>
      <c r="N58" s="26">
        <v>16.274000000000001</v>
      </c>
      <c r="O58" s="26">
        <v>15.55</v>
      </c>
      <c r="P58" s="26">
        <v>16.707999999999998</v>
      </c>
      <c r="Z58" s="26">
        <f t="shared" si="28"/>
        <v>16.274000000000001</v>
      </c>
    </row>
    <row r="59" spans="2:26" x14ac:dyDescent="0.2">
      <c r="B59" s="1" t="s">
        <v>110</v>
      </c>
      <c r="C59" s="26">
        <v>151.21799999999999</v>
      </c>
      <c r="D59" s="26">
        <v>60.265000000000001</v>
      </c>
      <c r="F59" s="26">
        <v>56.823999999999998</v>
      </c>
      <c r="G59" s="26">
        <f>22.756+133.981</f>
        <v>156.73699999999999</v>
      </c>
      <c r="H59" s="26">
        <v>51.280999999999999</v>
      </c>
      <c r="I59" s="26">
        <v>47.587000000000003</v>
      </c>
      <c r="J59" s="26">
        <v>55.343000000000004</v>
      </c>
      <c r="K59" s="26">
        <v>56.497999999999998</v>
      </c>
      <c r="L59" s="26">
        <v>56.567999999999998</v>
      </c>
      <c r="M59" s="26">
        <v>56.09</v>
      </c>
      <c r="N59" s="26">
        <v>70.628</v>
      </c>
      <c r="O59" s="26">
        <v>73.983999999999995</v>
      </c>
      <c r="P59" s="26">
        <v>72.460999999999999</v>
      </c>
      <c r="Z59" s="26">
        <f t="shared" si="28"/>
        <v>70.628</v>
      </c>
    </row>
    <row r="60" spans="2:26" x14ac:dyDescent="0.2">
      <c r="B60" s="1" t="s">
        <v>111</v>
      </c>
      <c r="C60" s="26">
        <f>SUM(C54:C59)</f>
        <v>649.79700000000003</v>
      </c>
      <c r="D60" s="26">
        <f>SUM(D54:D59)</f>
        <v>1025.0989999999999</v>
      </c>
      <c r="F60" s="26">
        <f t="shared" ref="F60:P60" si="29">SUM(F54:F59)</f>
        <v>751.75599999999997</v>
      </c>
      <c r="G60" s="26">
        <f t="shared" si="29"/>
        <v>662.22699999999998</v>
      </c>
      <c r="H60" s="26">
        <f t="shared" si="29"/>
        <v>840.41399999999987</v>
      </c>
      <c r="I60" s="26">
        <f t="shared" si="29"/>
        <v>871.49300000000005</v>
      </c>
      <c r="J60" s="26">
        <f t="shared" si="29"/>
        <v>858.48199999999997</v>
      </c>
      <c r="K60" s="26">
        <f t="shared" si="29"/>
        <v>744.73299999999995</v>
      </c>
      <c r="L60" s="26">
        <f t="shared" si="29"/>
        <v>769.21800000000007</v>
      </c>
      <c r="M60" s="26">
        <f t="shared" si="29"/>
        <v>869.572</v>
      </c>
      <c r="N60" s="26">
        <f t="shared" si="29"/>
        <v>842.87100000000009</v>
      </c>
      <c r="O60" s="26">
        <f t="shared" si="29"/>
        <v>737.47900000000004</v>
      </c>
      <c r="P60" s="26">
        <f t="shared" si="29"/>
        <v>718.06100000000004</v>
      </c>
      <c r="Z60" s="26">
        <f t="shared" si="28"/>
        <v>842.87100000000009</v>
      </c>
    </row>
    <row r="61" spans="2:26" x14ac:dyDescent="0.2">
      <c r="B61" s="1" t="s">
        <v>119</v>
      </c>
      <c r="C61" s="26">
        <v>1328.663</v>
      </c>
      <c r="D61" s="26">
        <v>1338.634</v>
      </c>
      <c r="F61" s="26">
        <v>1301.7349999999999</v>
      </c>
      <c r="G61" s="26">
        <v>1303.296</v>
      </c>
      <c r="H61" s="26">
        <v>1253.105</v>
      </c>
      <c r="I61" s="26">
        <v>1196.7550000000001</v>
      </c>
      <c r="J61" s="26">
        <v>1148.742</v>
      </c>
      <c r="K61" s="26">
        <v>1126.165</v>
      </c>
      <c r="L61" s="26">
        <v>1094.386</v>
      </c>
      <c r="M61" s="26">
        <v>1123.681</v>
      </c>
      <c r="N61" s="26">
        <v>1154.481</v>
      </c>
      <c r="O61" s="26">
        <v>1150.951</v>
      </c>
      <c r="P61" s="26">
        <v>1137.6559999999999</v>
      </c>
      <c r="Z61" s="26">
        <f t="shared" si="28"/>
        <v>1154.481</v>
      </c>
    </row>
    <row r="62" spans="2:26" s="2" customFormat="1" x14ac:dyDescent="0.2">
      <c r="B62" s="2" t="s">
        <v>112</v>
      </c>
      <c r="C62" s="20">
        <v>0</v>
      </c>
      <c r="D62" s="20">
        <v>0</v>
      </c>
      <c r="F62" s="20">
        <v>0</v>
      </c>
      <c r="G62" s="20">
        <v>642.97199999999998</v>
      </c>
      <c r="H62" s="20">
        <v>516.95299999999997</v>
      </c>
      <c r="I62" s="20">
        <v>321.08100000000002</v>
      </c>
      <c r="J62" s="20">
        <v>325.29000000000002</v>
      </c>
      <c r="K62" s="20">
        <v>329.71800000000002</v>
      </c>
      <c r="L62" s="20">
        <v>331.68</v>
      </c>
      <c r="M62" s="20">
        <v>336.24900000000002</v>
      </c>
      <c r="N62" s="20">
        <v>341.00200000000001</v>
      </c>
      <c r="O62" s="20">
        <v>405.80700000000002</v>
      </c>
      <c r="P62" s="20">
        <v>376.52199999999999</v>
      </c>
      <c r="Z62" s="20">
        <f>N62</f>
        <v>341.00200000000001</v>
      </c>
    </row>
    <row r="63" spans="2:26" x14ac:dyDescent="0.2">
      <c r="B63" s="1" t="s">
        <v>113</v>
      </c>
      <c r="C63" s="26">
        <v>35.142000000000003</v>
      </c>
      <c r="D63" s="20">
        <v>28.302</v>
      </c>
      <c r="F63" s="26">
        <v>27.335000000000001</v>
      </c>
      <c r="G63" s="26">
        <v>24.632999999999999</v>
      </c>
      <c r="H63" s="26">
        <v>19.600999999999999</v>
      </c>
      <c r="I63" s="26">
        <v>17.846</v>
      </c>
      <c r="J63" s="26">
        <v>15.627000000000001</v>
      </c>
      <c r="K63" s="26">
        <v>24.736999999999998</v>
      </c>
      <c r="L63" s="26">
        <v>24.207000000000001</v>
      </c>
      <c r="M63" s="26">
        <v>23.815999999999999</v>
      </c>
      <c r="N63" s="26">
        <v>24.617000000000001</v>
      </c>
      <c r="O63" s="26">
        <v>24.274999999999999</v>
      </c>
      <c r="P63" s="26">
        <v>24.055</v>
      </c>
      <c r="Z63" s="26">
        <f t="shared" si="28"/>
        <v>24.617000000000001</v>
      </c>
    </row>
    <row r="64" spans="2:26" x14ac:dyDescent="0.2">
      <c r="B64" s="1" t="s">
        <v>114</v>
      </c>
      <c r="C64" s="26">
        <f>C60+C61+C62+C63</f>
        <v>2013.6020000000001</v>
      </c>
      <c r="D64" s="26">
        <f>D60+D61+D62+D63</f>
        <v>2392.0350000000003</v>
      </c>
      <c r="F64" s="26">
        <f t="shared" ref="F64:P64" si="30">F60+F61+F62+F63</f>
        <v>2080.826</v>
      </c>
      <c r="G64" s="26">
        <f t="shared" si="30"/>
        <v>2633.1279999999997</v>
      </c>
      <c r="H64" s="26">
        <f t="shared" si="30"/>
        <v>2630.0729999999999</v>
      </c>
      <c r="I64" s="26">
        <f t="shared" si="30"/>
        <v>2407.1750000000002</v>
      </c>
      <c r="J64" s="26">
        <f t="shared" si="30"/>
        <v>2348.1410000000001</v>
      </c>
      <c r="K64" s="26">
        <f t="shared" si="30"/>
        <v>2225.3530000000001</v>
      </c>
      <c r="L64" s="26">
        <f t="shared" si="30"/>
        <v>2219.491</v>
      </c>
      <c r="M64" s="26">
        <f t="shared" si="30"/>
        <v>2353.3180000000002</v>
      </c>
      <c r="N64" s="26">
        <f t="shared" si="30"/>
        <v>2362.9710000000005</v>
      </c>
      <c r="O64" s="26">
        <f t="shared" si="30"/>
        <v>2318.5120000000002</v>
      </c>
      <c r="P64" s="26">
        <f t="shared" si="30"/>
        <v>2256.2939999999999</v>
      </c>
      <c r="Z64" s="26">
        <f t="shared" si="28"/>
        <v>2362.9710000000005</v>
      </c>
    </row>
    <row r="65" spans="2:26" x14ac:dyDescent="0.2">
      <c r="C65" s="26"/>
      <c r="D65" s="26"/>
      <c r="I65" s="26"/>
      <c r="L65" s="26"/>
      <c r="M65" s="26"/>
      <c r="N65" s="26"/>
    </row>
    <row r="66" spans="2:26" x14ac:dyDescent="0.2">
      <c r="B66" s="1" t="s">
        <v>115</v>
      </c>
      <c r="C66" s="26">
        <v>1241.751</v>
      </c>
      <c r="D66" s="26">
        <v>1228.577</v>
      </c>
      <c r="F66" s="26">
        <v>1247.8530000000001</v>
      </c>
      <c r="G66" s="26">
        <v>996.98299999999995</v>
      </c>
      <c r="H66" s="1">
        <v>997.9</v>
      </c>
      <c r="I66" s="26">
        <v>1068.1969999999999</v>
      </c>
      <c r="J66" s="26">
        <v>1086.665</v>
      </c>
      <c r="K66" s="26">
        <v>1175.5630000000001</v>
      </c>
      <c r="L66" s="26">
        <v>1275.5309999999999</v>
      </c>
      <c r="M66" s="26">
        <v>1396.6969999999999</v>
      </c>
      <c r="N66" s="26">
        <v>1423.672</v>
      </c>
      <c r="O66" s="26">
        <v>1383.0060000000001</v>
      </c>
      <c r="P66" s="26">
        <v>1372.923</v>
      </c>
      <c r="Z66" s="26">
        <f t="shared" si="28"/>
        <v>1423.672</v>
      </c>
    </row>
    <row r="67" spans="2:26" x14ac:dyDescent="0.2">
      <c r="B67" s="1" t="s">
        <v>116</v>
      </c>
      <c r="C67" s="26">
        <f>C66+C64</f>
        <v>3255.3530000000001</v>
      </c>
      <c r="D67" s="26">
        <f>D66+D64</f>
        <v>3620.6120000000001</v>
      </c>
      <c r="F67" s="26">
        <f t="shared" ref="F67:P67" si="31">F66+F64</f>
        <v>3328.6790000000001</v>
      </c>
      <c r="G67" s="26">
        <f t="shared" si="31"/>
        <v>3630.1109999999999</v>
      </c>
      <c r="H67" s="26">
        <f t="shared" si="31"/>
        <v>3627.973</v>
      </c>
      <c r="I67" s="26">
        <f t="shared" si="31"/>
        <v>3475.3720000000003</v>
      </c>
      <c r="J67" s="26">
        <f t="shared" si="31"/>
        <v>3434.806</v>
      </c>
      <c r="K67" s="26">
        <f t="shared" si="31"/>
        <v>3400.9160000000002</v>
      </c>
      <c r="L67" s="26">
        <f t="shared" si="31"/>
        <v>3495.0219999999999</v>
      </c>
      <c r="M67" s="26">
        <f t="shared" si="31"/>
        <v>3750.0150000000003</v>
      </c>
      <c r="N67" s="26">
        <f t="shared" si="31"/>
        <v>3786.6430000000005</v>
      </c>
      <c r="O67" s="26">
        <f t="shared" si="31"/>
        <v>3701.518</v>
      </c>
      <c r="P67" s="26">
        <f t="shared" si="31"/>
        <v>3629.2169999999996</v>
      </c>
      <c r="Z67" s="26">
        <f t="shared" si="28"/>
        <v>3786.6430000000005</v>
      </c>
    </row>
    <row r="68" spans="2:26" x14ac:dyDescent="0.2">
      <c r="I68" s="26"/>
      <c r="L68" s="26"/>
    </row>
    <row r="69" spans="2:26" x14ac:dyDescent="0.2">
      <c r="B69" s="1" t="s">
        <v>117</v>
      </c>
      <c r="C69" s="26">
        <f t="shared" ref="C69" si="32">C52-C64</f>
        <v>1241.751</v>
      </c>
      <c r="D69" s="26">
        <f t="shared" ref="D69:G69" si="33">D52-D64</f>
        <v>967.12399999999934</v>
      </c>
      <c r="F69" s="26">
        <f t="shared" si="33"/>
        <v>1247.8530000000001</v>
      </c>
      <c r="G69" s="26">
        <f t="shared" si="33"/>
        <v>996.98300000000017</v>
      </c>
      <c r="H69" s="26">
        <f t="shared" ref="H69:I69" si="34">H52-H64</f>
        <v>997.9030000000007</v>
      </c>
      <c r="I69" s="26">
        <f t="shared" si="34"/>
        <v>1091.049</v>
      </c>
      <c r="J69" s="26">
        <f t="shared" ref="J69:K69" si="35">J52-J64</f>
        <v>1086.665</v>
      </c>
      <c r="K69" s="26">
        <f t="shared" si="35"/>
        <v>1175.3129999999996</v>
      </c>
      <c r="L69" s="26">
        <f t="shared" ref="L69:M69" si="36">L52-L64</f>
        <v>1275.5309999999999</v>
      </c>
      <c r="M69" s="26">
        <f t="shared" si="36"/>
        <v>1396.6970000000001</v>
      </c>
      <c r="N69" s="26">
        <f t="shared" ref="N69" si="37">N52-N64</f>
        <v>1423.6719999999991</v>
      </c>
      <c r="O69" s="26">
        <f>O52-O64</f>
        <v>1383.0059999999999</v>
      </c>
      <c r="P69" s="26">
        <f t="shared" ref="P69" si="38">P52-P64</f>
        <v>1372.9229999999998</v>
      </c>
      <c r="Z69" s="26">
        <f t="shared" si="28"/>
        <v>1423.6719999999991</v>
      </c>
    </row>
    <row r="70" spans="2:26" x14ac:dyDescent="0.2">
      <c r="B70" s="1" t="s">
        <v>118</v>
      </c>
      <c r="C70" s="26">
        <f>C69/C19</f>
        <v>7.1335072067465948</v>
      </c>
      <c r="D70" s="26">
        <f>D69/D19</f>
        <v>5.629982361262301</v>
      </c>
      <c r="F70" s="26"/>
      <c r="G70" s="26">
        <f t="shared" ref="G70:O70" si="39">G69/G19</f>
        <v>5.9777972310994665</v>
      </c>
      <c r="H70" s="26">
        <f t="shared" si="39"/>
        <v>6.0000781649280022</v>
      </c>
      <c r="I70" s="26">
        <f t="shared" si="39"/>
        <v>6.5652676234317173</v>
      </c>
      <c r="J70" s="27">
        <f t="shared" si="39"/>
        <v>6.5339727015813835</v>
      </c>
      <c r="K70" s="27">
        <f t="shared" si="39"/>
        <v>7.0269884070621833</v>
      </c>
      <c r="L70" s="27">
        <f t="shared" si="39"/>
        <v>7.6155196398612457</v>
      </c>
      <c r="M70" s="27">
        <f t="shared" si="39"/>
        <v>8.3316749882185928</v>
      </c>
      <c r="N70" s="27">
        <f t="shared" si="39"/>
        <v>8.4939055312598768</v>
      </c>
      <c r="O70" s="27">
        <f t="shared" si="39"/>
        <v>8.2096996319601079</v>
      </c>
      <c r="P70" s="27">
        <f t="shared" ref="P70" si="40">P69/P19</f>
        <v>7.6193496828330245</v>
      </c>
      <c r="Z70" s="26">
        <f t="shared" si="28"/>
        <v>8.4939055312598768</v>
      </c>
    </row>
    <row r="72" spans="2:26" s="2" customFormat="1" x14ac:dyDescent="0.2">
      <c r="B72" s="2" t="s">
        <v>120</v>
      </c>
      <c r="G72" s="28">
        <f t="shared" ref="G72:K72" si="41">G43/C43-1</f>
        <v>-7.5480094703612832E-2</v>
      </c>
      <c r="H72" s="28">
        <f t="shared" si="41"/>
        <v>-0.21236737090518765</v>
      </c>
      <c r="I72" s="28"/>
      <c r="J72" s="28">
        <f t="shared" si="41"/>
        <v>-9.1496780033969882E-2</v>
      </c>
      <c r="K72" s="28">
        <f t="shared" si="41"/>
        <v>0.10663008709384458</v>
      </c>
      <c r="L72" s="28">
        <f>L43/H43-1</f>
        <v>0.19542208378047277</v>
      </c>
      <c r="M72" s="28">
        <f>M43/I43-1</f>
        <v>0.32117772487726826</v>
      </c>
      <c r="N72" s="28">
        <f>N43/J43-1</f>
        <v>0.36506307883929989</v>
      </c>
      <c r="O72" s="28">
        <f>O43/K43-1</f>
        <v>0.4615447248541884</v>
      </c>
      <c r="P72" s="28">
        <f t="shared" ref="P72" si="42">P43/L43-1</f>
        <v>0.36452124796676122</v>
      </c>
      <c r="Z72" s="26"/>
    </row>
    <row r="73" spans="2:26" x14ac:dyDescent="0.2">
      <c r="B73" s="1" t="s">
        <v>121</v>
      </c>
      <c r="D73" s="29">
        <f t="shared" ref="D73:E73" si="43">D43/C43-1</f>
        <v>0.17231234654507177</v>
      </c>
      <c r="E73" s="29">
        <f t="shared" si="43"/>
        <v>-1</v>
      </c>
      <c r="F73" s="29"/>
      <c r="G73" s="29">
        <f t="shared" ref="G73:K73" si="44">G43/F43-1</f>
        <v>-5.5008313203877446E-2</v>
      </c>
      <c r="H73" s="29">
        <f t="shared" si="44"/>
        <v>-1.2638447913232431E-3</v>
      </c>
      <c r="I73" s="29">
        <f t="shared" si="44"/>
        <v>0.32945469567612218</v>
      </c>
      <c r="J73" s="29">
        <f t="shared" si="44"/>
        <v>-0.27594064586640854</v>
      </c>
      <c r="K73" s="29">
        <f t="shared" si="44"/>
        <v>0.15107597824612462</v>
      </c>
      <c r="L73" s="29">
        <f t="shared" ref="L73:N73" si="45">L43/K43-1</f>
        <v>7.8871132938217015E-2</v>
      </c>
      <c r="M73" s="29">
        <f t="shared" si="45"/>
        <v>0.4693102578514301</v>
      </c>
      <c r="N73" s="29">
        <f t="shared" si="45"/>
        <v>-0.25188967948440677</v>
      </c>
      <c r="O73" s="29">
        <f>O43/N43-1</f>
        <v>0.23243317469437619</v>
      </c>
      <c r="P73" s="29">
        <f t="shared" ref="P73" si="46">P43/O43-1</f>
        <v>7.2511361970386545E-3</v>
      </c>
      <c r="X73" s="42" t="s">
        <v>134</v>
      </c>
      <c r="Y73" s="42" t="s">
        <v>134</v>
      </c>
      <c r="Z73" s="42" t="s">
        <v>134</v>
      </c>
    </row>
    <row r="75" spans="2:26" s="18" customFormat="1" x14ac:dyDescent="0.2">
      <c r="B75" s="18" t="s">
        <v>6</v>
      </c>
      <c r="C75" s="19">
        <f t="shared" ref="C75:O75" si="47">C41+C42</f>
        <v>349.67099999999999</v>
      </c>
      <c r="D75" s="19">
        <f t="shared" si="47"/>
        <v>317.166</v>
      </c>
      <c r="E75" s="19">
        <f t="shared" si="47"/>
        <v>0</v>
      </c>
      <c r="F75" s="19">
        <f t="shared" si="47"/>
        <v>416.93</v>
      </c>
      <c r="G75" s="19">
        <f t="shared" si="47"/>
        <v>885.72500000000002</v>
      </c>
      <c r="H75" s="19">
        <f t="shared" si="47"/>
        <v>898.78700000000003</v>
      </c>
      <c r="I75" s="19">
        <f t="shared" si="47"/>
        <v>692.36500000000001</v>
      </c>
      <c r="J75" s="19">
        <f t="shared" si="47"/>
        <v>850.47699999999998</v>
      </c>
      <c r="K75" s="19">
        <f t="shared" si="47"/>
        <v>791.67899999999997</v>
      </c>
      <c r="L75" s="19">
        <f t="shared" si="47"/>
        <v>823.99400000000003</v>
      </c>
      <c r="M75" s="19">
        <f t="shared" si="47"/>
        <v>740.66800000000001</v>
      </c>
      <c r="N75" s="19">
        <f t="shared" si="47"/>
        <v>434.77</v>
      </c>
      <c r="O75" s="19">
        <f t="shared" si="47"/>
        <v>228.77500000000001</v>
      </c>
      <c r="P75" s="19">
        <f>P41+P42</f>
        <v>98.213999999999999</v>
      </c>
      <c r="Z75" s="19">
        <f t="shared" ref="Z75" si="48">Z41+Z42</f>
        <v>434.77</v>
      </c>
    </row>
    <row r="76" spans="2:26" s="18" customFormat="1" x14ac:dyDescent="0.2">
      <c r="B76" s="18" t="s">
        <v>7</v>
      </c>
      <c r="C76" s="19">
        <f t="shared" ref="C76:D76" si="49">+C62</f>
        <v>0</v>
      </c>
      <c r="D76" s="19">
        <f t="shared" si="49"/>
        <v>0</v>
      </c>
      <c r="F76" s="19">
        <f t="shared" ref="F76:O76" si="50">+F62</f>
        <v>0</v>
      </c>
      <c r="G76" s="19">
        <f t="shared" si="50"/>
        <v>642.97199999999998</v>
      </c>
      <c r="H76" s="19">
        <f t="shared" si="50"/>
        <v>516.95299999999997</v>
      </c>
      <c r="I76" s="19">
        <f t="shared" si="50"/>
        <v>321.08100000000002</v>
      </c>
      <c r="J76" s="19">
        <f t="shared" si="50"/>
        <v>325.29000000000002</v>
      </c>
      <c r="K76" s="19">
        <f t="shared" si="50"/>
        <v>329.71800000000002</v>
      </c>
      <c r="L76" s="19">
        <f t="shared" si="50"/>
        <v>331.68</v>
      </c>
      <c r="M76" s="19">
        <f t="shared" si="50"/>
        <v>336.24900000000002</v>
      </c>
      <c r="N76" s="19">
        <f t="shared" si="50"/>
        <v>341.00200000000001</v>
      </c>
      <c r="O76" s="19">
        <f t="shared" si="50"/>
        <v>405.80700000000002</v>
      </c>
      <c r="P76" s="19">
        <f>+P62</f>
        <v>376.52199999999999</v>
      </c>
      <c r="Z76" s="19">
        <f t="shared" ref="Z76" si="51">+Z62</f>
        <v>341.00200000000001</v>
      </c>
    </row>
    <row r="77" spans="2:26" x14ac:dyDescent="0.2">
      <c r="B77" s="1" t="s">
        <v>8</v>
      </c>
      <c r="C77" s="26">
        <f t="shared" ref="C77" si="52">C75-C76</f>
        <v>349.67099999999999</v>
      </c>
      <c r="D77" s="26">
        <f t="shared" ref="D77:O77" si="53">D75-D76</f>
        <v>317.166</v>
      </c>
      <c r="F77" s="26">
        <f t="shared" si="53"/>
        <v>416.93</v>
      </c>
      <c r="G77" s="26">
        <f t="shared" si="53"/>
        <v>242.75300000000004</v>
      </c>
      <c r="H77" s="26">
        <f t="shared" si="53"/>
        <v>381.83400000000006</v>
      </c>
      <c r="I77" s="26">
        <f t="shared" si="53"/>
        <v>371.28399999999999</v>
      </c>
      <c r="J77" s="26">
        <f t="shared" si="53"/>
        <v>525.1869999999999</v>
      </c>
      <c r="K77" s="26">
        <f t="shared" si="53"/>
        <v>461.96099999999996</v>
      </c>
      <c r="L77" s="26">
        <f t="shared" si="53"/>
        <v>492.31400000000002</v>
      </c>
      <c r="M77" s="26">
        <f t="shared" si="53"/>
        <v>404.41899999999998</v>
      </c>
      <c r="N77" s="26">
        <f t="shared" si="53"/>
        <v>93.767999999999972</v>
      </c>
      <c r="O77" s="26">
        <f t="shared" si="53"/>
        <v>-177.03200000000001</v>
      </c>
      <c r="P77" s="26">
        <f>P75-P76</f>
        <v>-278.30799999999999</v>
      </c>
      <c r="Z77" s="26">
        <f t="shared" ref="Z77" si="54">Z75-Z76</f>
        <v>93.767999999999972</v>
      </c>
    </row>
    <row r="79" spans="2:26" x14ac:dyDescent="0.2">
      <c r="B79" s="1" t="s">
        <v>136</v>
      </c>
      <c r="C79" s="1">
        <v>22.18</v>
      </c>
      <c r="D79" s="27">
        <v>15.17</v>
      </c>
      <c r="F79" s="27">
        <v>13.6</v>
      </c>
      <c r="G79" s="1">
        <v>8.66</v>
      </c>
      <c r="H79" s="1">
        <v>11.92</v>
      </c>
      <c r="I79" s="1">
        <v>12.96</v>
      </c>
      <c r="J79" s="27">
        <v>21.6</v>
      </c>
      <c r="K79" s="1">
        <v>33.880000000000003</v>
      </c>
      <c r="L79" s="1">
        <v>33.130000000000003</v>
      </c>
      <c r="M79" s="1">
        <v>22.99</v>
      </c>
      <c r="N79" s="1">
        <v>22.25</v>
      </c>
      <c r="O79" s="1">
        <v>14.88</v>
      </c>
      <c r="P79" s="1">
        <v>12.04</v>
      </c>
      <c r="Z79" s="1">
        <f>N79</f>
        <v>22.25</v>
      </c>
    </row>
    <row r="80" spans="2:26" x14ac:dyDescent="0.2">
      <c r="B80" s="1" t="s">
        <v>5</v>
      </c>
      <c r="C80" s="26">
        <f t="shared" ref="C80" si="55">C79*C19</f>
        <v>3860.93914</v>
      </c>
      <c r="D80" s="26">
        <f t="shared" ref="D80" si="56">D79*D19</f>
        <v>2605.91777</v>
      </c>
      <c r="F80" s="26">
        <f t="shared" ref="F80:O80" si="57">F79*F19</f>
        <v>0</v>
      </c>
      <c r="G80" s="26">
        <f t="shared" si="57"/>
        <v>1444.3234600000001</v>
      </c>
      <c r="H80" s="26">
        <f t="shared" si="57"/>
        <v>1982.4748</v>
      </c>
      <c r="I80" s="26">
        <f t="shared" si="57"/>
        <v>2153.7576000000004</v>
      </c>
      <c r="J80" s="26">
        <f t="shared" si="57"/>
        <v>3592.2960000000003</v>
      </c>
      <c r="K80" s="26">
        <f t="shared" si="57"/>
        <v>5666.6671600000009</v>
      </c>
      <c r="L80" s="26">
        <f t="shared" si="57"/>
        <v>5548.9768300000005</v>
      </c>
      <c r="M80" s="26">
        <f t="shared" si="57"/>
        <v>3853.9746299999997</v>
      </c>
      <c r="N80" s="26">
        <f t="shared" si="57"/>
        <v>3729.3447499999997</v>
      </c>
      <c r="O80" s="26">
        <f t="shared" si="57"/>
        <v>2506.6848000000005</v>
      </c>
      <c r="P80" s="26">
        <f>P79*P19</f>
        <v>2169.4755599999999</v>
      </c>
      <c r="Z80" s="26">
        <f t="shared" ref="Z80" si="58">Z79*Z19</f>
        <v>3729.3447499999997</v>
      </c>
    </row>
    <row r="81" spans="1:26" x14ac:dyDescent="0.2">
      <c r="B81" s="1" t="s">
        <v>9</v>
      </c>
      <c r="C81" s="26">
        <f t="shared" ref="C81" si="59">C80-C77</f>
        <v>3511.2681400000001</v>
      </c>
      <c r="D81" s="26">
        <f t="shared" ref="D81" si="60">D80-D77</f>
        <v>2288.7517699999999</v>
      </c>
      <c r="F81" s="26">
        <f t="shared" ref="F81:O81" si="61">F80-F77</f>
        <v>-416.93</v>
      </c>
      <c r="G81" s="26">
        <f t="shared" si="61"/>
        <v>1201.5704599999999</v>
      </c>
      <c r="H81" s="26">
        <f t="shared" si="61"/>
        <v>1600.6407999999999</v>
      </c>
      <c r="I81" s="26">
        <f t="shared" si="61"/>
        <v>1782.4736000000003</v>
      </c>
      <c r="J81" s="26">
        <f t="shared" si="61"/>
        <v>3067.1090000000004</v>
      </c>
      <c r="K81" s="26">
        <f t="shared" si="61"/>
        <v>5204.7061600000006</v>
      </c>
      <c r="L81" s="26">
        <f t="shared" si="61"/>
        <v>5056.6628300000002</v>
      </c>
      <c r="M81" s="26">
        <f t="shared" si="61"/>
        <v>3449.5556299999998</v>
      </c>
      <c r="N81" s="26">
        <f t="shared" si="61"/>
        <v>3635.5767499999997</v>
      </c>
      <c r="O81" s="26">
        <f t="shared" si="61"/>
        <v>2683.7168000000006</v>
      </c>
      <c r="P81" s="26">
        <f>P80-P77</f>
        <v>2447.7835599999999</v>
      </c>
      <c r="Z81" s="26">
        <f t="shared" ref="Z81" si="62">Z80-Z77</f>
        <v>3635.5767499999997</v>
      </c>
    </row>
    <row r="83" spans="1:26" x14ac:dyDescent="0.2">
      <c r="A83" s="46">
        <f t="shared" ref="A83:A88" si="63">AVERAGE(C83:P83)</f>
        <v>2.7051850562149427</v>
      </c>
      <c r="B83" s="1" t="s">
        <v>90</v>
      </c>
      <c r="C83" s="45">
        <f t="shared" ref="C83:O83" si="64">C79/C70</f>
        <v>3.1092700066277379</v>
      </c>
      <c r="D83" s="45">
        <f t="shared" si="64"/>
        <v>2.6945022251541704</v>
      </c>
      <c r="E83" s="45"/>
      <c r="F83" s="45"/>
      <c r="G83" s="45">
        <f t="shared" si="64"/>
        <v>1.4486941703118306</v>
      </c>
      <c r="H83" s="45">
        <f t="shared" si="64"/>
        <v>1.9866407857276696</v>
      </c>
      <c r="I83" s="45">
        <f t="shared" si="64"/>
        <v>1.9740246313410308</v>
      </c>
      <c r="J83" s="45">
        <f t="shared" si="64"/>
        <v>3.3057989352744412</v>
      </c>
      <c r="K83" s="45">
        <f t="shared" si="64"/>
        <v>4.8214111134650963</v>
      </c>
      <c r="L83" s="45">
        <f t="shared" si="64"/>
        <v>4.3503269069901087</v>
      </c>
      <c r="M83" s="45">
        <f t="shared" si="64"/>
        <v>2.7593491143748423</v>
      </c>
      <c r="N83" s="45">
        <f t="shared" si="64"/>
        <v>2.6195252487932628</v>
      </c>
      <c r="O83" s="45">
        <f t="shared" si="64"/>
        <v>1.812490184424363</v>
      </c>
      <c r="P83" s="45">
        <f>P79/P70</f>
        <v>1.5801873520947642</v>
      </c>
      <c r="Z83" s="45">
        <f>Z79/Z70</f>
        <v>2.6195252487932628</v>
      </c>
    </row>
    <row r="84" spans="1:26" x14ac:dyDescent="0.2">
      <c r="A84" s="46">
        <f t="shared" si="63"/>
        <v>0.8553491796573508</v>
      </c>
      <c r="B84" s="1" t="s">
        <v>137</v>
      </c>
      <c r="J84" s="45">
        <f t="shared" ref="J84:O84" si="65">J80/SUM(G6:J6)</f>
        <v>0.95564034066090175</v>
      </c>
      <c r="K84" s="45">
        <f t="shared" si="65"/>
        <v>1.3358580639929392</v>
      </c>
      <c r="L84" s="45">
        <f t="shared" si="65"/>
        <v>1.2188551082960253</v>
      </c>
      <c r="M84" s="45">
        <f t="shared" si="65"/>
        <v>0.80373604792417197</v>
      </c>
      <c r="N84" s="45">
        <f t="shared" si="65"/>
        <v>0.74426357347202077</v>
      </c>
      <c r="O84" s="45">
        <f t="shared" si="65"/>
        <v>0.49822722495273514</v>
      </c>
      <c r="P84" s="45">
        <f>P80/SUM(M6:P6)</f>
        <v>0.43086389830266114</v>
      </c>
      <c r="Z84" s="45">
        <f>Z80/Z6</f>
        <v>0.74426357347202077</v>
      </c>
    </row>
    <row r="85" spans="1:26" x14ac:dyDescent="0.2">
      <c r="A85" s="46">
        <f t="shared" si="63"/>
        <v>0.80258513379488117</v>
      </c>
      <c r="B85" s="1" t="s">
        <v>138</v>
      </c>
      <c r="J85" s="45">
        <f t="shared" ref="J85:O85" si="66">J81/SUM(G6:J6)</f>
        <v>0.81592749862598124</v>
      </c>
      <c r="K85" s="45">
        <f t="shared" si="66"/>
        <v>1.2269555451620568</v>
      </c>
      <c r="L85" s="45">
        <f t="shared" si="66"/>
        <v>1.1107163554828063</v>
      </c>
      <c r="M85" s="45">
        <f t="shared" si="66"/>
        <v>0.71939555272858069</v>
      </c>
      <c r="N85" s="45">
        <f t="shared" si="66"/>
        <v>0.72555033792110413</v>
      </c>
      <c r="O85" s="45">
        <f t="shared" si="66"/>
        <v>0.53341400315788989</v>
      </c>
      <c r="P85" s="45">
        <f>P81/SUM(M6:P6)</f>
        <v>0.48613664348574909</v>
      </c>
      <c r="Z85" s="45">
        <f>Z81/Z6</f>
        <v>0.72555033792110413</v>
      </c>
    </row>
    <row r="86" spans="1:26" x14ac:dyDescent="0.2">
      <c r="A86" s="46">
        <f t="shared" si="63"/>
        <v>38.697690419113108</v>
      </c>
      <c r="B86" s="1" t="s">
        <v>88</v>
      </c>
      <c r="J86" s="45"/>
      <c r="K86" s="45">
        <f t="shared" ref="K86:O86" si="67">K79/(H18:K18)</f>
        <v>59.359826948660725</v>
      </c>
      <c r="L86" s="45">
        <f t="shared" si="67"/>
        <v>45.66645678169057</v>
      </c>
      <c r="M86" s="45">
        <f t="shared" si="67"/>
        <v>25.317785828778636</v>
      </c>
      <c r="N86" s="45">
        <f t="shared" si="67"/>
        <v>73.953850043626645</v>
      </c>
      <c r="O86" s="45">
        <f t="shared" si="67"/>
        <v>78.975576559546141</v>
      </c>
      <c r="P86" s="45">
        <f>P79/(M18:P18)</f>
        <v>-51.087353647624042</v>
      </c>
      <c r="Z86" s="45">
        <f>Z79/Z18</f>
        <v>8.8873061964701936</v>
      </c>
    </row>
    <row r="87" spans="1:26" x14ac:dyDescent="0.2">
      <c r="A87" s="46">
        <f t="shared" si="63"/>
        <v>15.448578569458997</v>
      </c>
      <c r="B87" s="1" t="s">
        <v>87</v>
      </c>
      <c r="K87" s="45">
        <f t="shared" ref="K87:O87" si="68">K81/SUM(H17:K17)</f>
        <v>36.323391770420429</v>
      </c>
      <c r="L87" s="45">
        <f t="shared" si="68"/>
        <v>18.153454232797589</v>
      </c>
      <c r="M87" s="45">
        <f t="shared" si="68"/>
        <v>9.2564021767422364</v>
      </c>
      <c r="N87" s="45">
        <f t="shared" si="68"/>
        <v>8.6638500712539273</v>
      </c>
      <c r="O87" s="45">
        <f t="shared" si="68"/>
        <v>7.5405849346591651</v>
      </c>
      <c r="P87" s="45">
        <f>P81/SUM(M17:P17)</f>
        <v>12.753788230880646</v>
      </c>
      <c r="Z87" s="45">
        <f>Z81/Z17</f>
        <v>8.663850071253929</v>
      </c>
    </row>
    <row r="88" spans="1:26" s="29" customFormat="1" x14ac:dyDescent="0.2">
      <c r="A88" s="47">
        <f t="shared" si="63"/>
        <v>0.11302716825321657</v>
      </c>
      <c r="B88" s="29" t="s">
        <v>89</v>
      </c>
      <c r="J88" s="29">
        <f t="shared" ref="J88:O88" si="69">SUM(G11:J11)/(J52-J60)</f>
        <v>-0.10534738643120971</v>
      </c>
      <c r="K88" s="29">
        <f t="shared" si="69"/>
        <v>8.2930555853630336E-2</v>
      </c>
      <c r="L88" s="29">
        <f t="shared" si="69"/>
        <v>0.14692582445399596</v>
      </c>
      <c r="M88" s="29">
        <f t="shared" si="69"/>
        <v>0.17866244879693854</v>
      </c>
      <c r="N88" s="29">
        <f t="shared" si="69"/>
        <v>0.20078457163122687</v>
      </c>
      <c r="O88" s="29">
        <f t="shared" si="69"/>
        <v>0.16853320755900986</v>
      </c>
      <c r="P88" s="29">
        <f>SUM(M11:P11)/(P52-P60)</f>
        <v>0.1187009559089242</v>
      </c>
      <c r="Z88" s="29">
        <f>Z11/(Z52-Z60)</f>
        <v>0.2007845716312269</v>
      </c>
    </row>
    <row r="90" spans="1:26" x14ac:dyDescent="0.2">
      <c r="B90" s="1" t="s">
        <v>139</v>
      </c>
      <c r="C90" s="29"/>
      <c r="D90" s="29">
        <f t="shared" ref="D90" si="70">D43/SUM(A6:D6)</f>
        <v>0.2774857835508977</v>
      </c>
      <c r="J90" s="29">
        <f t="shared" ref="J90:O90" si="71">J43/SUM(G6:J6)</f>
        <v>0.10785848324282277</v>
      </c>
      <c r="K90" s="29">
        <f t="shared" si="71"/>
        <v>0.11001921749527575</v>
      </c>
      <c r="L90" s="29">
        <f t="shared" si="71"/>
        <v>0.11059734034117544</v>
      </c>
      <c r="M90" s="29">
        <f t="shared" si="71"/>
        <v>0.15428496947388726</v>
      </c>
      <c r="N90" s="29">
        <f t="shared" si="71"/>
        <v>0.11045335211947828</v>
      </c>
      <c r="O90" s="29">
        <f t="shared" si="71"/>
        <v>0.13557380255397911</v>
      </c>
      <c r="P90" s="29">
        <f>P43/SUM(M6:P6)</f>
        <v>0.13644925222077642</v>
      </c>
    </row>
  </sheetData>
  <hyperlinks>
    <hyperlink ref="O1" r:id="rId1" xr:uid="{C57AD726-7406-4725-8352-6AFB73BDD013}"/>
    <hyperlink ref="N1" r:id="rId2" xr:uid="{6919EB97-858C-4F10-A89A-A8E1B106BBC9}"/>
    <hyperlink ref="M1" r:id="rId3" xr:uid="{41C9AE52-6E90-401B-A93C-4F15F22CD102}"/>
    <hyperlink ref="L1" r:id="rId4" xr:uid="{F5F8FFEF-F5E5-F447-899B-69C8DDB585AC}"/>
    <hyperlink ref="H1" r:id="rId5" xr:uid="{CA76EAFA-7351-EB44-9E0B-7D837F5A67A0}"/>
    <hyperlink ref="G1" r:id="rId6" xr:uid="{B000A8FA-46FD-0E47-9C56-359DE6ABA3ED}"/>
    <hyperlink ref="P1" r:id="rId7" xr:uid="{98D5F2A2-0313-4464-AB4C-9CE777BCCDC5}"/>
  </hyperlinks>
  <pageMargins left="0.7" right="0.7" top="0.75" bottom="0.75" header="0.3" footer="0.3"/>
  <pageSetup paperSize="256" orientation="portrait" horizontalDpi="203" verticalDpi="203" r:id="rId8"/>
  <ignoredErrors>
    <ignoredError sqref="L6:P6 H6:K6 Z3:Z5 Y7:Z7 Y9:Z9 Z13:Z14 Y16:Z16 Y13:Y14" formulaRange="1"/>
    <ignoredError sqref="Y8:Z8 Y11:Z11 Y15:Z15" formula="1"/>
  </ignoredError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2022-07-26T13:39:27Z</dcterms:created>
  <dcterms:modified xsi:type="dcterms:W3CDTF">2022-11-24T11:08:17Z</dcterms:modified>
</cp:coreProperties>
</file>