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45DE0CA-7878-4DC5-88F0-D84EC1EB87B2}" xr6:coauthVersionLast="36" xr6:coauthVersionMax="47" xr10:uidLastSave="{00000000-0000-0000-0000-000000000000}"/>
  <bookViews>
    <workbookView xWindow="0" yWindow="495" windowWidth="33600" windowHeight="18900" activeTab="1" xr2:uid="{C3D898C5-A016-4C72-B082-1E1424AE10E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2" l="1"/>
  <c r="S81" i="2"/>
  <c r="J81" i="2"/>
  <c r="K81" i="2"/>
  <c r="C38" i="1" l="1"/>
  <c r="A81" i="2"/>
  <c r="A77" i="2"/>
  <c r="J73" i="2"/>
  <c r="J3" i="2"/>
  <c r="J2" i="2"/>
  <c r="J60" i="2"/>
  <c r="J57" i="2"/>
  <c r="J56" i="2"/>
  <c r="J55" i="2"/>
  <c r="J50" i="2"/>
  <c r="J49" i="2"/>
  <c r="J48" i="2"/>
  <c r="J46" i="2"/>
  <c r="J45" i="2"/>
  <c r="J44" i="2"/>
  <c r="J41" i="2"/>
  <c r="J40" i="2"/>
  <c r="J38" i="2"/>
  <c r="J37" i="2"/>
  <c r="J34" i="2"/>
  <c r="J54" i="2"/>
  <c r="J52" i="2"/>
  <c r="J51" i="2"/>
  <c r="J47" i="2"/>
  <c r="J70" i="2" s="1"/>
  <c r="J39" i="2"/>
  <c r="J36" i="2"/>
  <c r="J33" i="2"/>
  <c r="J32" i="2"/>
  <c r="J31" i="2"/>
  <c r="S83" i="2"/>
  <c r="R83" i="2"/>
  <c r="J69" i="2" l="1"/>
  <c r="J71" i="2" s="1"/>
  <c r="K67" i="2"/>
  <c r="J67" i="2"/>
  <c r="S74" i="2"/>
  <c r="R74" i="2"/>
  <c r="R75" i="2" s="1"/>
  <c r="I74" i="2"/>
  <c r="S70" i="2"/>
  <c r="S69" i="2"/>
  <c r="S71" i="2" s="1"/>
  <c r="R70" i="2"/>
  <c r="R69" i="2"/>
  <c r="R71" i="2" s="1"/>
  <c r="I70" i="2"/>
  <c r="I69" i="2"/>
  <c r="I71" i="2" s="1"/>
  <c r="S66" i="2"/>
  <c r="S53" i="2"/>
  <c r="J53" i="2" s="1"/>
  <c r="R53" i="2"/>
  <c r="R58" i="2" s="1"/>
  <c r="R61" i="2" s="1"/>
  <c r="R34" i="2"/>
  <c r="R35" i="2"/>
  <c r="R42" i="2" s="1"/>
  <c r="S30" i="2"/>
  <c r="J30" i="2" s="1"/>
  <c r="H4" i="2"/>
  <c r="H20" i="2" s="1"/>
  <c r="J17" i="2"/>
  <c r="J74" i="2" s="1"/>
  <c r="J75" i="2" s="1"/>
  <c r="J14" i="2"/>
  <c r="J12" i="2"/>
  <c r="J9" i="2"/>
  <c r="J8" i="2"/>
  <c r="J7" i="2"/>
  <c r="J10" i="2" s="1"/>
  <c r="J5" i="2"/>
  <c r="J4" i="2"/>
  <c r="K83" i="2" s="1"/>
  <c r="S19" i="2"/>
  <c r="R10" i="2"/>
  <c r="S10" i="2"/>
  <c r="I10" i="2"/>
  <c r="K10" i="2"/>
  <c r="S75" i="2" l="1"/>
  <c r="J20" i="2"/>
  <c r="R63" i="2"/>
  <c r="R64" i="2" s="1"/>
  <c r="R77" i="2" s="1"/>
  <c r="K20" i="2"/>
  <c r="J6" i="2"/>
  <c r="J22" i="2" s="1"/>
  <c r="J11" i="2"/>
  <c r="J23" i="2" s="1"/>
  <c r="S35" i="2"/>
  <c r="S58" i="2"/>
  <c r="I20" i="2"/>
  <c r="J19" i="2"/>
  <c r="I75" i="2"/>
  <c r="J83" i="2"/>
  <c r="J13" i="2" l="1"/>
  <c r="J35" i="2"/>
  <c r="S42" i="2"/>
  <c r="J58" i="2"/>
  <c r="S61" i="2"/>
  <c r="J61" i="2" s="1"/>
  <c r="J15" i="2"/>
  <c r="J25" i="2"/>
  <c r="S6" i="2"/>
  <c r="R6" i="2"/>
  <c r="I19" i="2"/>
  <c r="I53" i="2"/>
  <c r="I58" i="2" s="1"/>
  <c r="I61" i="2" s="1"/>
  <c r="I35" i="2"/>
  <c r="I42" i="2" s="1"/>
  <c r="I63" i="2" s="1"/>
  <c r="I64" i="2" s="1"/>
  <c r="I77" i="2" s="1"/>
  <c r="C26" i="1"/>
  <c r="C7" i="1"/>
  <c r="S22" i="2" l="1"/>
  <c r="S11" i="2"/>
  <c r="J16" i="2"/>
  <c r="J24" i="2"/>
  <c r="R22" i="2"/>
  <c r="R11" i="2"/>
  <c r="J42" i="2"/>
  <c r="S63" i="2"/>
  <c r="K74" i="2"/>
  <c r="K70" i="2"/>
  <c r="C10" i="1" s="1"/>
  <c r="K69" i="2"/>
  <c r="C9" i="1" s="1"/>
  <c r="K66" i="2"/>
  <c r="K53" i="2"/>
  <c r="K58" i="2" s="1"/>
  <c r="K61" i="2" s="1"/>
  <c r="K30" i="2"/>
  <c r="K35" i="2" s="1"/>
  <c r="K42" i="2" s="1"/>
  <c r="K63" i="2" s="1"/>
  <c r="K64" i="2" s="1"/>
  <c r="K77" i="2" s="1"/>
  <c r="C33" i="1" s="1"/>
  <c r="K19" i="2"/>
  <c r="I6" i="2"/>
  <c r="I11" i="2" s="1"/>
  <c r="K6" i="2"/>
  <c r="K22" i="2" s="1"/>
  <c r="S64" i="2" l="1"/>
  <c r="J63" i="2"/>
  <c r="R13" i="2"/>
  <c r="R23" i="2"/>
  <c r="S23" i="2"/>
  <c r="S13" i="2"/>
  <c r="K71" i="2"/>
  <c r="K75" i="2" s="1"/>
  <c r="I13" i="2"/>
  <c r="I23" i="2"/>
  <c r="I22" i="2"/>
  <c r="C11" i="1"/>
  <c r="C8" i="1"/>
  <c r="R25" i="2" l="1"/>
  <c r="R15" i="2"/>
  <c r="S25" i="2"/>
  <c r="S15" i="2"/>
  <c r="J64" i="2"/>
  <c r="J77" i="2" s="1"/>
  <c r="S77" i="2"/>
  <c r="C12" i="1"/>
  <c r="C35" i="1" s="1"/>
  <c r="C34" i="1"/>
  <c r="I25" i="2"/>
  <c r="I15" i="2"/>
  <c r="S16" i="2" l="1"/>
  <c r="S80" i="2" s="1"/>
  <c r="S24" i="2"/>
  <c r="R16" i="2"/>
  <c r="R24" i="2"/>
  <c r="I16" i="2"/>
  <c r="I24" i="2"/>
  <c r="K11" i="2"/>
  <c r="K13" i="2" s="1"/>
  <c r="K23" i="2" l="1"/>
  <c r="K15" i="2"/>
  <c r="C36" i="1" s="1"/>
  <c r="K25" i="2"/>
  <c r="K16" i="2" l="1"/>
  <c r="C37" i="1" s="1"/>
  <c r="K24" i="2"/>
</calcChain>
</file>

<file path=xl/sharedStrings.xml><?xml version="1.0" encoding="utf-8"?>
<sst xmlns="http://schemas.openxmlformats.org/spreadsheetml/2006/main" count="345" uniqueCount="103">
  <si>
    <t>£JOUL</t>
  </si>
  <si>
    <t>Joules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</si>
  <si>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</si>
  <si>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</si>
  <si>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</si>
  <si>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</si>
  <si>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</si>
  <si>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</si>
  <si>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</si>
  <si>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</si>
  <si>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</si>
  <si>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</si>
  <si>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</si>
  <si>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</si>
  <si>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Management</t>
  </si>
  <si>
    <t>HQ</t>
  </si>
  <si>
    <t>Founded</t>
  </si>
  <si>
    <t>Inventory</t>
  </si>
  <si>
    <t>Update</t>
  </si>
  <si>
    <t>IR</t>
  </si>
  <si>
    <t>Key Metrics</t>
  </si>
  <si>
    <t>Key Events</t>
  </si>
  <si>
    <t xml:space="preserve">Joules file to appoint administrators after financing talks break down </t>
  </si>
  <si>
    <t>Link</t>
  </si>
  <si>
    <t>Jonathan Brown</t>
  </si>
  <si>
    <t>Founder</t>
  </si>
  <si>
    <t>Non-Exec</t>
  </si>
  <si>
    <t>Tom Simon Lee Joule</t>
  </si>
  <si>
    <t>Caroline York</t>
  </si>
  <si>
    <t>H122</t>
  </si>
  <si>
    <t>Revenue</t>
  </si>
  <si>
    <t>COGS</t>
  </si>
  <si>
    <t>Gross Profit</t>
  </si>
  <si>
    <t>Administrative</t>
  </si>
  <si>
    <t>Share-Based Comp</t>
  </si>
  <si>
    <t>Total Admin</t>
  </si>
  <si>
    <t>Operating Income</t>
  </si>
  <si>
    <t>Finance Costs</t>
  </si>
  <si>
    <t>Pretax Income</t>
  </si>
  <si>
    <t>Taxes</t>
  </si>
  <si>
    <t>Net Income</t>
  </si>
  <si>
    <t>EPS</t>
  </si>
  <si>
    <t>H222</t>
  </si>
  <si>
    <t>H221</t>
  </si>
  <si>
    <t>H121</t>
  </si>
  <si>
    <t>Revenue Y/Y</t>
  </si>
  <si>
    <t>Revenue H/H</t>
  </si>
  <si>
    <t>Gross Margin</t>
  </si>
  <si>
    <t>Operating Margin</t>
  </si>
  <si>
    <t>Net Margin</t>
  </si>
  <si>
    <t>FY20</t>
  </si>
  <si>
    <t>FY21</t>
  </si>
  <si>
    <t>FY22</t>
  </si>
  <si>
    <t>FY23</t>
  </si>
  <si>
    <t>FY19</t>
  </si>
  <si>
    <t>-</t>
  </si>
  <si>
    <t>Balance Sheet</t>
  </si>
  <si>
    <t>Goodwill+Intangibles</t>
  </si>
  <si>
    <t>PP&amp;E</t>
  </si>
  <si>
    <t>ROU</t>
  </si>
  <si>
    <t>Derivative Financial Instruments</t>
  </si>
  <si>
    <t>Deferred Taxes</t>
  </si>
  <si>
    <t>Total NCA</t>
  </si>
  <si>
    <t>Inventories</t>
  </si>
  <si>
    <t>ROR Assets</t>
  </si>
  <si>
    <t>Assets</t>
  </si>
  <si>
    <t>Held for Sale</t>
  </si>
  <si>
    <t>Trade &amp; A/P</t>
  </si>
  <si>
    <t>Trade &amp; A/R</t>
  </si>
  <si>
    <t>Lease Liabilities</t>
  </si>
  <si>
    <t>Current Taxes</t>
  </si>
  <si>
    <t>Borrowings</t>
  </si>
  <si>
    <t>Provisions</t>
  </si>
  <si>
    <t>ROR Provision</t>
  </si>
  <si>
    <t>Other Financial Liabilities</t>
  </si>
  <si>
    <t>TCL</t>
  </si>
  <si>
    <t>Liabilities</t>
  </si>
  <si>
    <t>S/E</t>
  </si>
  <si>
    <t>S/E+L</t>
  </si>
  <si>
    <t>Book Value</t>
  </si>
  <si>
    <t>Book Value per Share</t>
  </si>
  <si>
    <t>Inventory Y/Y</t>
  </si>
  <si>
    <t>Inventory H/H</t>
  </si>
  <si>
    <t>Share Price</t>
  </si>
  <si>
    <t>P/B</t>
  </si>
  <si>
    <t>P/S</t>
  </si>
  <si>
    <t>EV/S</t>
  </si>
  <si>
    <t>P/E</t>
  </si>
  <si>
    <t>EV/E</t>
  </si>
  <si>
    <t xml:space="preserve">Joule's open new £20m headquarters in Market Harborough </t>
  </si>
  <si>
    <t>H120</t>
  </si>
  <si>
    <t>H220</t>
  </si>
  <si>
    <t>s</t>
  </si>
  <si>
    <t>H119</t>
  </si>
  <si>
    <t>H118</t>
  </si>
  <si>
    <t>H218</t>
  </si>
  <si>
    <t>H219</t>
  </si>
  <si>
    <t>Exceptional</t>
  </si>
  <si>
    <t>FY18</t>
  </si>
  <si>
    <t>Inventory/Revenue</t>
  </si>
  <si>
    <t>Market Harborough, UK</t>
  </si>
  <si>
    <t>Crew Clothing owner, Brigadier Acquisition Company, is considering a takeover of £JOUL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</si>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</sst>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"/>
    <numFmt numFmtId="166" formatCode="0.0\x"/>
    <numFmt numFmtId="167" formatCode="0.\1\x"/>
    <numFmt numFmtId="168" formatCode="0.00\x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4" xfId="0" applyFont="1" applyFill="1" applyBorder="1"/>
    <xf numFmtId="0" fontId="2" fillId="0" borderId="0" xfId="0" applyFont="1" applyBorder="1"/>
    <xf numFmtId="0" fontId="3" fillId="2" borderId="6" xfId="0" applyFont="1" applyFill="1" applyBorder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3" fillId="4" borderId="4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3" fillId="4" borderId="6" xfId="0" applyFont="1" applyFill="1" applyBorder="1" applyAlignment="1">
      <alignment horizontal="center"/>
    </xf>
    <xf numFmtId="0" fontId="2" fillId="4" borderId="7" xfId="0" applyFont="1" applyFill="1" applyBorder="1"/>
    <xf numFmtId="0" fontId="2" fillId="4" borderId="8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0" borderId="0" xfId="0" applyFont="1"/>
    <xf numFmtId="15" fontId="4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15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164" fontId="3" fillId="0" borderId="0" xfId="0" applyNumberFormat="1" applyFont="1"/>
    <xf numFmtId="164" fontId="2" fillId="0" borderId="0" xfId="0" applyNumberFormat="1" applyFont="1"/>
    <xf numFmtId="0" fontId="3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3" fillId="5" borderId="0" xfId="0" applyFont="1" applyFill="1"/>
    <xf numFmtId="0" fontId="2" fillId="5" borderId="0" xfId="0" applyFont="1" applyFill="1"/>
    <xf numFmtId="9" fontId="3" fillId="0" borderId="0" xfId="0" applyNumberFormat="1" applyFont="1"/>
    <xf numFmtId="165" fontId="2" fillId="0" borderId="0" xfId="0" applyNumberFormat="1" applyFont="1"/>
    <xf numFmtId="165" fontId="2" fillId="5" borderId="0" xfId="0" applyNumberFormat="1" applyFont="1" applyFill="1"/>
    <xf numFmtId="9" fontId="2" fillId="0" borderId="0" xfId="0" applyNumberFormat="1" applyFont="1"/>
    <xf numFmtId="0" fontId="9" fillId="0" borderId="0" xfId="0" applyFont="1"/>
    <xf numFmtId="0" fontId="10" fillId="0" borderId="0" xfId="0" applyFont="1"/>
    <xf numFmtId="0" fontId="10" fillId="5" borderId="0" xfId="0" applyFont="1" applyFill="1"/>
    <xf numFmtId="164" fontId="10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15" fontId="2" fillId="4" borderId="0" xfId="0" applyNumberFormat="1" applyFont="1" applyFill="1" applyBorder="1" applyAlignment="1">
      <alignment horizontal="center"/>
    </xf>
    <xf numFmtId="15" fontId="2" fillId="4" borderId="5" xfId="0" applyNumberFormat="1" applyFont="1" applyFill="1" applyBorder="1" applyAlignment="1">
      <alignment horizontal="center"/>
    </xf>
    <xf numFmtId="15" fontId="3" fillId="2" borderId="4" xfId="0" applyNumberFormat="1" applyFont="1" applyFill="1" applyBorder="1" applyAlignment="1">
      <alignment horizontal="center"/>
    </xf>
    <xf numFmtId="0" fontId="8" fillId="4" borderId="0" xfId="1" applyFont="1" applyFill="1" applyBorder="1"/>
    <xf numFmtId="164" fontId="3" fillId="5" borderId="0" xfId="0" applyNumberFormat="1" applyFont="1" applyFill="1"/>
    <xf numFmtId="164" fontId="2" fillId="5" borderId="0" xfId="0" applyNumberFormat="1" applyFont="1" applyFill="1"/>
    <xf numFmtId="9" fontId="2" fillId="5" borderId="0" xfId="0" applyNumberFormat="1" applyFont="1" applyFill="1"/>
    <xf numFmtId="9" fontId="3" fillId="5" borderId="0" xfId="0" applyNumberFormat="1" applyFont="1" applyFill="1"/>
    <xf numFmtId="14" fontId="6" fillId="5" borderId="0" xfId="0" applyNumberFormat="1" applyFont="1" applyFill="1" applyAlignment="1">
      <alignment horizontal="right"/>
    </xf>
    <xf numFmtId="15" fontId="6" fillId="5" borderId="0" xfId="0" applyNumberFormat="1" applyFont="1" applyFill="1" applyAlignment="1">
      <alignment horizontal="right"/>
    </xf>
    <xf numFmtId="164" fontId="10" fillId="5" borderId="0" xfId="0" applyNumberFormat="1" applyFont="1" applyFill="1"/>
    <xf numFmtId="166" fontId="2" fillId="5" borderId="0" xfId="0" applyNumberFormat="1" applyFont="1" applyFill="1"/>
    <xf numFmtId="166" fontId="11" fillId="0" borderId="0" xfId="0" applyNumberFormat="1" applyFont="1"/>
    <xf numFmtId="9" fontId="11" fillId="0" borderId="0" xfId="0" applyNumberFormat="1" applyFont="1"/>
    <xf numFmtId="9" fontId="2" fillId="4" borderId="7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6" fontId="2" fillId="4" borderId="0" xfId="0" applyNumberFormat="1" applyFont="1" applyFill="1" applyBorder="1" applyAlignment="1">
      <alignment horizontal="center"/>
    </xf>
    <xf numFmtId="166" fontId="2" fillId="4" borderId="5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167" fontId="2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0</xdr:row>
      <xdr:rowOff>47626</xdr:rowOff>
    </xdr:from>
    <xdr:to>
      <xdr:col>4</xdr:col>
      <xdr:colOff>82534</xdr:colOff>
      <xdr:row>3</xdr:row>
      <xdr:rowOff>85725</xdr:rowOff>
    </xdr:to>
    <xdr:pic>
      <xdr:nvPicPr>
        <xdr:cNvPr id="2" name="Picture 1" descr="Joules Formalwear">
          <a:extLst>
            <a:ext uri="{FF2B5EF4-FFF2-40B4-BE49-F238E27FC236}">
              <a16:creationId xmlns:a16="http://schemas.microsoft.com/office/drawing/2014/main" id="{CEE5656A-60DC-40CF-9B74-62AA5F569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6" y="47626"/>
          <a:ext cx="568308" cy="552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9525</xdr:rowOff>
    </xdr:from>
    <xdr:to>
      <xdr:col>11</xdr:col>
      <xdr:colOff>9525</xdr:colOff>
      <xdr:row>89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80728B-0AE1-4F72-936B-C2DA7C7AA087}"/>
            </a:ext>
          </a:extLst>
        </xdr:cNvPr>
        <xdr:cNvCxnSpPr/>
      </xdr:nvCxnSpPr>
      <xdr:spPr>
        <a:xfrm>
          <a:off x="9039225" y="9525"/>
          <a:ext cx="0" cy="1448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0</xdr:row>
      <xdr:rowOff>0</xdr:rowOff>
    </xdr:from>
    <xdr:to>
      <xdr:col>19</xdr:col>
      <xdr:colOff>9525</xdr:colOff>
      <xdr:row>90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E7D6F9A-7701-4D9A-95A5-C31F4770BCA9}"/>
            </a:ext>
          </a:extLst>
        </xdr:cNvPr>
        <xdr:cNvCxnSpPr/>
      </xdr:nvCxnSpPr>
      <xdr:spPr>
        <a:xfrm>
          <a:off x="14627225" y="0"/>
          <a:ext cx="0" cy="14592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rapersonline.com/news/crew-clothing-owner-mulls-joules-takeover" TargetMode="External"/><Relationship Id="rId2" Type="http://schemas.openxmlformats.org/officeDocument/2006/relationships/hyperlink" Target="https://www.harboroughmail.co.uk/business/photos-inside-jouless-impressive-new-ps20m-headquarters-in-harborough-3448760" TargetMode="External"/><Relationship Id="rId1" Type="http://schemas.openxmlformats.org/officeDocument/2006/relationships/hyperlink" Target="https://www.joulesgroup.com/investor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file:///\\Users\charlie\Downloads\fy21-rns-final.pdf" TargetMode="External"/><Relationship Id="rId1" Type="http://schemas.openxmlformats.org/officeDocument/2006/relationships/hyperlink" Target="https://www.joulesgroup.com/media/2038/220208-joules-group-plc-fy22-interim-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7E1B-ADE6-46D7-B76E-B92B72B7FE98}">
  <dimension ref="A2:S38"/>
  <sheetViews>
    <sheetView workbookViewId="0">
      <selection activeCell="C38" sqref="C38:D38"/>
    </sheetView>
  </sheetViews>
  <sheetFormatPr defaultColWidth="9.140625" defaultRowHeight="12.75" x14ac:dyDescent="0.2"/>
  <cols>
    <col min="1" max="2" width="9.140625" style="1"/>
    <col min="3" max="3" width="10.140625" style="1" customWidth="1"/>
    <col min="4" max="4" width="10.28515625" style="1" customWidth="1"/>
    <col min="5" max="6" width="9.140625" style="1"/>
    <col min="7" max="7" width="9.42578125" style="1" bestFit="1" customWidth="1"/>
    <col min="8" max="16384" width="9.140625" style="1"/>
  </cols>
  <sheetData>
    <row r="2" spans="2:19" ht="15" x14ac:dyDescent="0.25">
      <c r="B2" s="2" t="s">
        <v>0</v>
      </c>
      <c r="E2" s="18"/>
    </row>
    <row r="3" spans="2:19" x14ac:dyDescent="0.2">
      <c r="B3" s="2" t="s">
        <v>1</v>
      </c>
    </row>
    <row r="5" spans="2:19" x14ac:dyDescent="0.2">
      <c r="B5" s="66" t="s">
        <v>2</v>
      </c>
      <c r="C5" s="67"/>
      <c r="D5" s="68"/>
      <c r="G5" s="66" t="s">
        <v>21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8"/>
    </row>
    <row r="6" spans="2:19" x14ac:dyDescent="0.2">
      <c r="B6" s="3" t="s">
        <v>3</v>
      </c>
      <c r="C6" s="4">
        <v>9.2200000000000004E-2</v>
      </c>
      <c r="D6" s="6"/>
      <c r="G6" s="1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</row>
    <row r="7" spans="2:19" x14ac:dyDescent="0.2">
      <c r="B7" s="3" t="s">
        <v>4</v>
      </c>
      <c r="C7" s="8">
        <f>'Financial Model'!K17</f>
        <v>110.3</v>
      </c>
      <c r="D7" s="6" t="s">
        <v>29</v>
      </c>
      <c r="G7" s="19">
        <v>44886</v>
      </c>
      <c r="H7" s="47" t="s">
        <v>101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</row>
    <row r="8" spans="2:19" x14ac:dyDescent="0.2">
      <c r="B8" s="3" t="s">
        <v>5</v>
      </c>
      <c r="C8" s="8">
        <f>C6*C7</f>
        <v>10.16966</v>
      </c>
      <c r="D8" s="6"/>
      <c r="G8" s="16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</row>
    <row r="9" spans="2:19" x14ac:dyDescent="0.2">
      <c r="B9" s="3" t="s">
        <v>6</v>
      </c>
      <c r="C9" s="8">
        <f>'Financial Model'!K69</f>
        <v>19.350999999999999</v>
      </c>
      <c r="D9" s="6" t="s">
        <v>29</v>
      </c>
      <c r="G9" s="1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</row>
    <row r="10" spans="2:19" x14ac:dyDescent="0.2">
      <c r="B10" s="3" t="s">
        <v>7</v>
      </c>
      <c r="C10" s="8">
        <f>'Financial Model'!K70</f>
        <v>25.856000000000002</v>
      </c>
      <c r="D10" s="6" t="s">
        <v>29</v>
      </c>
      <c r="G10" s="19">
        <v>44879</v>
      </c>
      <c r="H10" s="11" t="s">
        <v>22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</row>
    <row r="11" spans="2:19" x14ac:dyDescent="0.2">
      <c r="B11" s="3" t="s">
        <v>8</v>
      </c>
      <c r="C11" s="8">
        <f>C9-C10</f>
        <v>-6.5050000000000026</v>
      </c>
      <c r="D11" s="6" t="s">
        <v>29</v>
      </c>
      <c r="G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</row>
    <row r="12" spans="2:19" x14ac:dyDescent="0.2">
      <c r="B12" s="5" t="s">
        <v>9</v>
      </c>
      <c r="C12" s="9">
        <f>C8-C11</f>
        <v>16.674660000000003</v>
      </c>
      <c r="D12" s="7"/>
      <c r="G12" s="16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</row>
    <row r="13" spans="2:19" x14ac:dyDescent="0.2">
      <c r="G13" s="1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2:19" x14ac:dyDescent="0.2">
      <c r="G14" s="1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2:19" x14ac:dyDescent="0.2">
      <c r="B15" s="66" t="s">
        <v>14</v>
      </c>
      <c r="C15" s="67"/>
      <c r="D15" s="68"/>
      <c r="G15" s="1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2:19" x14ac:dyDescent="0.2">
      <c r="B16" s="10" t="s">
        <v>11</v>
      </c>
      <c r="C16" s="62" t="s">
        <v>24</v>
      </c>
      <c r="D16" s="63"/>
      <c r="G16" s="1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1:19" x14ac:dyDescent="0.2">
      <c r="B17" s="10" t="s">
        <v>12</v>
      </c>
      <c r="C17" s="62" t="s">
        <v>28</v>
      </c>
      <c r="D17" s="63"/>
      <c r="G17" s="1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  <row r="18" spans="1:19" x14ac:dyDescent="0.2">
      <c r="B18" s="10" t="s">
        <v>13</v>
      </c>
      <c r="C18" s="62"/>
      <c r="D18" s="63"/>
      <c r="G18" s="1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">
      <c r="A19" s="20" t="s">
        <v>26</v>
      </c>
      <c r="B19" s="13" t="s">
        <v>25</v>
      </c>
      <c r="C19" s="69" t="s">
        <v>27</v>
      </c>
      <c r="D19" s="59"/>
      <c r="G19" s="1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">
      <c r="G20" s="1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">
      <c r="G21" s="1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">
      <c r="B22" s="66" t="s">
        <v>10</v>
      </c>
      <c r="C22" s="67"/>
      <c r="D22" s="68"/>
      <c r="G22" s="46">
        <v>44508</v>
      </c>
      <c r="H22" s="47" t="s">
        <v>89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">
      <c r="B23" s="16" t="s">
        <v>15</v>
      </c>
      <c r="C23" s="62" t="s">
        <v>100</v>
      </c>
      <c r="D23" s="63"/>
      <c r="G23" s="1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">
      <c r="B24" s="16" t="s">
        <v>16</v>
      </c>
      <c r="C24" s="62">
        <v>1989</v>
      </c>
      <c r="D24" s="63"/>
      <c r="G24" s="1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">
      <c r="B25" s="16"/>
      <c r="C25" s="62"/>
      <c r="D25" s="63"/>
      <c r="G25" s="1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">
      <c r="B26" s="16" t="s">
        <v>17</v>
      </c>
      <c r="C26" s="60">
        <f>'Financial Model'!K36</f>
        <v>61.878</v>
      </c>
      <c r="D26" s="61"/>
      <c r="G26" s="1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">
      <c r="B27" s="16"/>
      <c r="C27" s="62"/>
      <c r="D27" s="63"/>
      <c r="G27" s="1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">
      <c r="B28" s="16" t="s">
        <v>18</v>
      </c>
      <c r="C28" s="44" t="s">
        <v>29</v>
      </c>
      <c r="D28" s="45">
        <v>44600</v>
      </c>
      <c r="G28" s="1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">
      <c r="B29" s="17" t="s">
        <v>19</v>
      </c>
      <c r="C29" s="64" t="s">
        <v>23</v>
      </c>
      <c r="D29" s="65"/>
      <c r="G29" s="1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">
      <c r="G30" s="1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">
      <c r="G31" s="1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">
      <c r="B32" s="66" t="s">
        <v>20</v>
      </c>
      <c r="C32" s="67"/>
      <c r="D32" s="68"/>
      <c r="G32" s="1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2">
      <c r="B33" s="16" t="s">
        <v>84</v>
      </c>
      <c r="C33" s="70">
        <f>'Financial Model'!K77</f>
        <v>0.20742534761796225</v>
      </c>
      <c r="D33" s="71"/>
      <c r="G33" s="16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2">
      <c r="B34" s="16" t="s">
        <v>85</v>
      </c>
      <c r="C34" s="72">
        <f>C8/SUM('Financial Model'!J4:K4)</f>
        <v>4.3754399249653658E-2</v>
      </c>
      <c r="D34" s="73"/>
      <c r="G34" s="16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2">
      <c r="B35" s="16" t="s">
        <v>86</v>
      </c>
      <c r="C35" s="70">
        <f>C12/SUM('Financial Model'!J4:K4)</f>
        <v>7.1741801691721258E-2</v>
      </c>
      <c r="D35" s="71"/>
      <c r="G35" s="16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2">
      <c r="B36" s="16" t="s">
        <v>88</v>
      </c>
      <c r="C36" s="74">
        <f>C12/SUM('Financial Model'!J15:K15)</f>
        <v>8.2793743793445529</v>
      </c>
      <c r="D36" s="75"/>
      <c r="G36" s="16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2">
      <c r="B37" s="16" t="s">
        <v>87</v>
      </c>
      <c r="C37" s="70">
        <f>C6/SUM('Financial Model'!J16:K16)</f>
        <v>5.0560966752336345</v>
      </c>
      <c r="D37" s="71"/>
      <c r="G37" s="17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</row>
    <row r="38" spans="2:19" x14ac:dyDescent="0.2">
      <c r="B38" s="17" t="s">
        <v>102</v>
      </c>
      <c r="C38" s="58">
        <f>'Financial Model'!K81</f>
        <v>5.1946894769669537E-2</v>
      </c>
      <c r="D38" s="59"/>
    </row>
  </sheetData>
  <mergeCells count="21">
    <mergeCell ref="C24:D24"/>
    <mergeCell ref="C25:D25"/>
    <mergeCell ref="C17:D17"/>
    <mergeCell ref="C18:D18"/>
    <mergeCell ref="C33:D33"/>
    <mergeCell ref="G5:S5"/>
    <mergeCell ref="C23:D23"/>
    <mergeCell ref="C16:D16"/>
    <mergeCell ref="C19:D19"/>
    <mergeCell ref="B5:D5"/>
    <mergeCell ref="B15:D15"/>
    <mergeCell ref="B22:D22"/>
    <mergeCell ref="C38:D38"/>
    <mergeCell ref="C26:D26"/>
    <mergeCell ref="C27:D27"/>
    <mergeCell ref="C29:D29"/>
    <mergeCell ref="B32:D32"/>
    <mergeCell ref="C34:D34"/>
    <mergeCell ref="C35:D35"/>
    <mergeCell ref="C36:D36"/>
    <mergeCell ref="C37:D37"/>
  </mergeCells>
  <hyperlinks>
    <hyperlink ref="C29:D29" r:id="rId1" display="Link" xr:uid="{5421A33A-B86C-4727-9FDA-EA3E30BFBF6A}"/>
    <hyperlink ref="H22" r:id="rId2" xr:uid="{30AC97B8-6A64-A74C-90DA-59D3198B2670}"/>
    <hyperlink ref="H7" r:id="rId3" xr:uid="{1A915FBC-B945-4DFB-A1EE-92C8795FB023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0F92-CF5D-4546-9777-39819DEC72FB}">
  <dimension ref="A1:U83"/>
  <sheetViews>
    <sheetView tabSelected="1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R81" sqref="R81"/>
    </sheetView>
  </sheetViews>
  <sheetFormatPr defaultColWidth="9.140625" defaultRowHeight="12.75" x14ac:dyDescent="0.2"/>
  <cols>
    <col min="1" max="1" width="5.140625" style="1" customWidth="1"/>
    <col min="2" max="2" width="30.85546875" style="1" bestFit="1" customWidth="1"/>
    <col min="3" max="3" width="9.140625" style="1"/>
    <col min="4" max="4" width="9.140625" style="33"/>
    <col min="5" max="5" width="9.140625" style="1"/>
    <col min="6" max="6" width="9.140625" style="33"/>
    <col min="7" max="7" width="9.140625" style="1"/>
    <col min="8" max="8" width="9.140625" style="33"/>
    <col min="9" max="9" width="9.140625" style="1"/>
    <col min="10" max="10" width="9.140625" style="33"/>
    <col min="11" max="11" width="9.140625" style="1"/>
    <col min="12" max="12" width="9.140625" style="33"/>
    <col min="13" max="16384" width="9.140625" style="1"/>
  </cols>
  <sheetData>
    <row r="1" spans="2:21" s="21" customFormat="1" x14ac:dyDescent="0.2">
      <c r="C1" s="21" t="s">
        <v>94</v>
      </c>
      <c r="D1" s="30" t="s">
        <v>95</v>
      </c>
      <c r="E1" s="21" t="s">
        <v>93</v>
      </c>
      <c r="F1" s="30" t="s">
        <v>96</v>
      </c>
      <c r="G1" s="21" t="s">
        <v>90</v>
      </c>
      <c r="H1" s="30" t="s">
        <v>91</v>
      </c>
      <c r="I1" s="21" t="s">
        <v>44</v>
      </c>
      <c r="J1" s="30" t="s">
        <v>43</v>
      </c>
      <c r="K1" s="24" t="s">
        <v>29</v>
      </c>
      <c r="L1" s="30" t="s">
        <v>42</v>
      </c>
      <c r="P1" s="21" t="s">
        <v>98</v>
      </c>
      <c r="Q1" s="21" t="s">
        <v>54</v>
      </c>
      <c r="R1" s="21" t="s">
        <v>50</v>
      </c>
      <c r="S1" s="24" t="s">
        <v>51</v>
      </c>
      <c r="T1" s="21" t="s">
        <v>52</v>
      </c>
      <c r="U1" s="21" t="s">
        <v>53</v>
      </c>
    </row>
    <row r="2" spans="2:21" s="23" customFormat="1" x14ac:dyDescent="0.2">
      <c r="B2" s="22"/>
      <c r="D2" s="31"/>
      <c r="F2" s="31"/>
      <c r="G2" s="26">
        <v>43793</v>
      </c>
      <c r="H2" s="31" t="s">
        <v>92</v>
      </c>
      <c r="I2" s="26">
        <v>44072</v>
      </c>
      <c r="J2" s="52">
        <f>S2</f>
        <v>44346</v>
      </c>
      <c r="K2" s="26">
        <v>44437</v>
      </c>
      <c r="L2" s="31"/>
      <c r="R2" s="26">
        <v>43982</v>
      </c>
      <c r="S2" s="26">
        <v>44346</v>
      </c>
    </row>
    <row r="3" spans="2:21" s="23" customFormat="1" x14ac:dyDescent="0.2">
      <c r="B3" s="22"/>
      <c r="D3" s="31"/>
      <c r="F3" s="31"/>
      <c r="H3" s="31"/>
      <c r="J3" s="53">
        <f>S3</f>
        <v>44411</v>
      </c>
      <c r="K3" s="25">
        <v>44600</v>
      </c>
      <c r="L3" s="31"/>
      <c r="S3" s="25">
        <v>44411</v>
      </c>
    </row>
    <row r="4" spans="2:21" s="2" customFormat="1" x14ac:dyDescent="0.2">
      <c r="B4" s="2" t="s">
        <v>30</v>
      </c>
      <c r="D4" s="32"/>
      <c r="F4" s="32"/>
      <c r="G4" s="2">
        <v>111.6</v>
      </c>
      <c r="H4" s="48">
        <f>R4-G4</f>
        <v>79.207999999999998</v>
      </c>
      <c r="I4" s="28">
        <v>94.451999999999998</v>
      </c>
      <c r="J4" s="48">
        <f>S4-I4</f>
        <v>104.55500000000001</v>
      </c>
      <c r="K4" s="28">
        <v>127.871</v>
      </c>
      <c r="L4" s="32"/>
      <c r="R4" s="28">
        <v>190.80799999999999</v>
      </c>
      <c r="S4" s="28">
        <v>199.00700000000001</v>
      </c>
    </row>
    <row r="5" spans="2:21" x14ac:dyDescent="0.2">
      <c r="B5" s="1" t="s">
        <v>31</v>
      </c>
      <c r="I5" s="29">
        <v>47.005000000000003</v>
      </c>
      <c r="J5" s="49">
        <f>S5-I5</f>
        <v>54.499999999999993</v>
      </c>
      <c r="K5" s="29">
        <v>63.484000000000002</v>
      </c>
      <c r="R5" s="29">
        <v>93.997</v>
      </c>
      <c r="S5" s="29">
        <v>101.505</v>
      </c>
    </row>
    <row r="6" spans="2:21" s="2" customFormat="1" x14ac:dyDescent="0.2">
      <c r="B6" s="2" t="s">
        <v>32</v>
      </c>
      <c r="D6" s="32"/>
      <c r="F6" s="32"/>
      <c r="H6" s="32"/>
      <c r="I6" s="28">
        <f>I4-I5</f>
        <v>47.446999999999996</v>
      </c>
      <c r="J6" s="48">
        <f>J4-J5</f>
        <v>50.055000000000014</v>
      </c>
      <c r="K6" s="28">
        <f>K4-K5</f>
        <v>64.387</v>
      </c>
      <c r="L6" s="32"/>
      <c r="R6" s="28">
        <f>R4-R5</f>
        <v>96.810999999999993</v>
      </c>
      <c r="S6" s="28">
        <f>S4-S5</f>
        <v>97.50200000000001</v>
      </c>
    </row>
    <row r="7" spans="2:21" x14ac:dyDescent="0.2">
      <c r="B7" s="27" t="s">
        <v>33</v>
      </c>
      <c r="I7" s="29">
        <v>44.530999999999999</v>
      </c>
      <c r="J7" s="49">
        <f t="shared" ref="J7:J9" si="0">S7-I7</f>
        <v>43.595000000000006</v>
      </c>
      <c r="K7" s="29">
        <v>60.674999999999997</v>
      </c>
      <c r="R7" s="29">
        <v>99.272999999999996</v>
      </c>
      <c r="S7" s="29">
        <v>88.126000000000005</v>
      </c>
    </row>
    <row r="8" spans="2:21" x14ac:dyDescent="0.2">
      <c r="B8" s="27" t="s">
        <v>34</v>
      </c>
      <c r="I8" s="29">
        <v>0.70299999999999996</v>
      </c>
      <c r="J8" s="49">
        <f t="shared" si="0"/>
        <v>0.95000000000000007</v>
      </c>
      <c r="K8" s="29">
        <v>0.39600000000000002</v>
      </c>
      <c r="R8" s="29">
        <v>-0.371</v>
      </c>
      <c r="S8" s="29">
        <v>1.653</v>
      </c>
    </row>
    <row r="9" spans="2:21" x14ac:dyDescent="0.2">
      <c r="B9" s="27" t="s">
        <v>97</v>
      </c>
      <c r="I9" s="29">
        <v>0</v>
      </c>
      <c r="J9" s="49">
        <f t="shared" si="0"/>
        <v>4.1619999999999999</v>
      </c>
      <c r="K9" s="29">
        <v>0</v>
      </c>
      <c r="R9" s="29">
        <v>20.95</v>
      </c>
      <c r="S9" s="29">
        <v>4.1619999999999999</v>
      </c>
    </row>
    <row r="10" spans="2:21" x14ac:dyDescent="0.2">
      <c r="B10" s="1" t="s">
        <v>35</v>
      </c>
      <c r="I10" s="29">
        <f>I7+I8+I9</f>
        <v>45.234000000000002</v>
      </c>
      <c r="J10" s="49">
        <f>J7+J8+J9</f>
        <v>48.707000000000008</v>
      </c>
      <c r="K10" s="29">
        <f>K7+K8+K9</f>
        <v>61.070999999999998</v>
      </c>
      <c r="R10" s="29">
        <f>R7+R8+R9</f>
        <v>119.852</v>
      </c>
      <c r="S10" s="29">
        <f>S7+S8+S9</f>
        <v>93.941000000000017</v>
      </c>
    </row>
    <row r="11" spans="2:21" s="2" customFormat="1" x14ac:dyDescent="0.2">
      <c r="B11" s="2" t="s">
        <v>36</v>
      </c>
      <c r="D11" s="32"/>
      <c r="F11" s="32"/>
      <c r="H11" s="32"/>
      <c r="I11" s="28">
        <f>I6-I10</f>
        <v>2.2129999999999939</v>
      </c>
      <c r="J11" s="48">
        <f>J6-J10</f>
        <v>1.3480000000000061</v>
      </c>
      <c r="K11" s="28">
        <f>K6-K10</f>
        <v>3.3160000000000025</v>
      </c>
      <c r="L11" s="32"/>
      <c r="R11" s="28">
        <f>R6-R10</f>
        <v>-23.041000000000011</v>
      </c>
      <c r="S11" s="28">
        <f>S6-S10</f>
        <v>3.5609999999999928</v>
      </c>
    </row>
    <row r="12" spans="2:21" x14ac:dyDescent="0.2">
      <c r="B12" s="1" t="s">
        <v>37</v>
      </c>
      <c r="I12" s="29">
        <v>0.88500000000000001</v>
      </c>
      <c r="J12" s="49">
        <f t="shared" ref="J12" si="1">S12-I12</f>
        <v>0.69799999999999995</v>
      </c>
      <c r="K12" s="29">
        <v>0.76600000000000001</v>
      </c>
      <c r="R12" s="29">
        <v>1.774</v>
      </c>
      <c r="S12" s="29">
        <v>1.583</v>
      </c>
    </row>
    <row r="13" spans="2:21" x14ac:dyDescent="0.2">
      <c r="B13" s="1" t="s">
        <v>38</v>
      </c>
      <c r="I13" s="29">
        <f>I11-I12</f>
        <v>1.3279999999999939</v>
      </c>
      <c r="J13" s="49">
        <f>J11-J12</f>
        <v>0.65000000000000613</v>
      </c>
      <c r="K13" s="29">
        <f>K11-K12</f>
        <v>2.5500000000000025</v>
      </c>
      <c r="R13" s="29">
        <f>R11-R12</f>
        <v>-24.815000000000012</v>
      </c>
      <c r="S13" s="29">
        <f>S11-S12</f>
        <v>1.9779999999999929</v>
      </c>
    </row>
    <row r="14" spans="2:21" x14ac:dyDescent="0.2">
      <c r="B14" s="1" t="s">
        <v>39</v>
      </c>
      <c r="I14" s="29">
        <v>0.17699999999999999</v>
      </c>
      <c r="J14" s="49">
        <f t="shared" ref="J14" si="2">S14-I14</f>
        <v>0.90799999999999992</v>
      </c>
      <c r="K14" s="29">
        <v>0.27800000000000002</v>
      </c>
      <c r="R14" s="29">
        <v>-4.5389999999999997</v>
      </c>
      <c r="S14" s="29">
        <v>1.085</v>
      </c>
    </row>
    <row r="15" spans="2:21" s="2" customFormat="1" x14ac:dyDescent="0.2">
      <c r="B15" s="2" t="s">
        <v>40</v>
      </c>
      <c r="D15" s="32"/>
      <c r="F15" s="32"/>
      <c r="H15" s="32"/>
      <c r="I15" s="28">
        <f>I13-I14</f>
        <v>1.1509999999999938</v>
      </c>
      <c r="J15" s="48">
        <f>J13-J14</f>
        <v>-0.25799999999999379</v>
      </c>
      <c r="K15" s="28">
        <f>K13-K14</f>
        <v>2.2720000000000025</v>
      </c>
      <c r="L15" s="32"/>
      <c r="R15" s="28">
        <f>R13-R14</f>
        <v>-20.27600000000001</v>
      </c>
      <c r="S15" s="28">
        <f>S13-S14</f>
        <v>0.89299999999999291</v>
      </c>
    </row>
    <row r="16" spans="2:21" x14ac:dyDescent="0.2">
      <c r="B16" s="1" t="s">
        <v>41</v>
      </c>
      <c r="I16" s="35">
        <f>I15/I17</f>
        <v>1.1196498054474648E-2</v>
      </c>
      <c r="J16" s="36">
        <f>J15/J17</f>
        <v>-2.3629572706985696E-3</v>
      </c>
      <c r="K16" s="35">
        <f>K15/K17</f>
        <v>2.0598368087035381E-2</v>
      </c>
      <c r="R16" s="35">
        <f>R15/R17</f>
        <v>-0.21609514265418112</v>
      </c>
      <c r="S16" s="35">
        <f>S15/S17</f>
        <v>8.1787629563327777E-3</v>
      </c>
    </row>
    <row r="17" spans="2:21" x14ac:dyDescent="0.2">
      <c r="B17" s="1" t="s">
        <v>4</v>
      </c>
      <c r="I17" s="1">
        <v>102.8</v>
      </c>
      <c r="J17" s="49">
        <f>S17</f>
        <v>109.185216</v>
      </c>
      <c r="K17" s="1">
        <v>110.3</v>
      </c>
      <c r="R17" s="29">
        <v>93.829041000000004</v>
      </c>
      <c r="S17" s="29">
        <v>109.185216</v>
      </c>
    </row>
    <row r="19" spans="2:21" s="2" customFormat="1" x14ac:dyDescent="0.2">
      <c r="B19" s="2" t="s">
        <v>45</v>
      </c>
      <c r="D19" s="32"/>
      <c r="F19" s="32"/>
      <c r="H19" s="32"/>
      <c r="I19" s="34">
        <f>I4/G4-1</f>
        <v>-0.15365591397849465</v>
      </c>
      <c r="J19" s="51">
        <f>J4/H4-1</f>
        <v>0.32000555499444516</v>
      </c>
      <c r="K19" s="34">
        <f>K4/I4-1</f>
        <v>0.35381992969974174</v>
      </c>
      <c r="L19" s="32"/>
      <c r="S19" s="34">
        <f>S4/R4-1</f>
        <v>4.2969896440400834E-2</v>
      </c>
    </row>
    <row r="20" spans="2:21" x14ac:dyDescent="0.2">
      <c r="B20" s="1" t="s">
        <v>46</v>
      </c>
      <c r="H20" s="50">
        <f>H4/G4-1</f>
        <v>-0.29025089605734766</v>
      </c>
      <c r="I20" s="37">
        <f>I4/H4-1</f>
        <v>0.19245530754469242</v>
      </c>
      <c r="J20" s="50">
        <f>J4/I4-1</f>
        <v>0.10696438402574859</v>
      </c>
      <c r="K20" s="37">
        <f>K4/J4-1</f>
        <v>0.22300224762086929</v>
      </c>
      <c r="Q20" s="20" t="s">
        <v>55</v>
      </c>
      <c r="R20" s="20" t="s">
        <v>55</v>
      </c>
      <c r="S20" s="20" t="s">
        <v>55</v>
      </c>
      <c r="T20" s="20" t="s">
        <v>55</v>
      </c>
      <c r="U20" s="20" t="s">
        <v>55</v>
      </c>
    </row>
    <row r="22" spans="2:21" x14ac:dyDescent="0.2">
      <c r="B22" s="1" t="s">
        <v>47</v>
      </c>
      <c r="I22" s="37">
        <f>I6/I4</f>
        <v>0.50233981281497475</v>
      </c>
      <c r="J22" s="50">
        <f t="shared" ref="J22" si="3">J6/J4</f>
        <v>0.47874324518196176</v>
      </c>
      <c r="K22" s="37">
        <f>K6/K4</f>
        <v>0.50353090223741115</v>
      </c>
      <c r="R22" s="37">
        <f t="shared" ref="R22:S22" si="4">R6/R4</f>
        <v>0.50737390465808563</v>
      </c>
      <c r="S22" s="37">
        <f t="shared" si="4"/>
        <v>0.48994256483440285</v>
      </c>
    </row>
    <row r="23" spans="2:21" x14ac:dyDescent="0.2">
      <c r="B23" s="1" t="s">
        <v>48</v>
      </c>
      <c r="I23" s="37">
        <f>I11/I4</f>
        <v>2.3429890314657115E-2</v>
      </c>
      <c r="J23" s="50">
        <f t="shared" ref="J23" si="5">J11/J4</f>
        <v>1.2892735880637043E-2</v>
      </c>
      <c r="K23" s="37">
        <f>K11/K4</f>
        <v>2.5932384981739429E-2</v>
      </c>
      <c r="R23" s="37">
        <f t="shared" ref="R23:S23" si="6">R11/R4</f>
        <v>-0.12075489497295717</v>
      </c>
      <c r="S23" s="37">
        <f t="shared" si="6"/>
        <v>1.789384293014815E-2</v>
      </c>
    </row>
    <row r="24" spans="2:21" x14ac:dyDescent="0.2">
      <c r="B24" s="1" t="s">
        <v>49</v>
      </c>
      <c r="I24" s="37">
        <f>I15/I4</f>
        <v>1.2186083936814401E-2</v>
      </c>
      <c r="J24" s="50">
        <f t="shared" ref="J24" si="7">J15/J4</f>
        <v>-2.4676007842761587E-3</v>
      </c>
      <c r="K24" s="37">
        <f>K15/K4</f>
        <v>1.7767906718489747E-2</v>
      </c>
      <c r="R24" s="37">
        <f t="shared" ref="R24:S24" si="8">R15/R4</f>
        <v>-0.10626388830657002</v>
      </c>
      <c r="S24" s="37">
        <f t="shared" si="8"/>
        <v>4.4872793419326604E-3</v>
      </c>
    </row>
    <row r="25" spans="2:21" x14ac:dyDescent="0.2">
      <c r="B25" s="1" t="s">
        <v>39</v>
      </c>
      <c r="I25" s="37">
        <f>I14/I13</f>
        <v>0.13328313253012108</v>
      </c>
      <c r="J25" s="50">
        <f t="shared" ref="J25" si="9">J14/J13</f>
        <v>1.3969230769230636</v>
      </c>
      <c r="K25" s="37">
        <f>K14/K13</f>
        <v>0.10901960784313716</v>
      </c>
      <c r="R25" s="37">
        <f t="shared" ref="R25:S25" si="10">R14/R13</f>
        <v>0.18291356034656447</v>
      </c>
      <c r="S25" s="37">
        <f t="shared" si="10"/>
        <v>0.54853387259858644</v>
      </c>
    </row>
    <row r="29" spans="2:21" x14ac:dyDescent="0.2">
      <c r="B29" s="38" t="s">
        <v>56</v>
      </c>
    </row>
    <row r="30" spans="2:21" x14ac:dyDescent="0.2">
      <c r="B30" s="1" t="s">
        <v>57</v>
      </c>
      <c r="I30" s="29">
        <v>18.748000000000001</v>
      </c>
      <c r="J30" s="49">
        <f>S30</f>
        <v>31.096999999999998</v>
      </c>
      <c r="K30" s="29">
        <f>5.531+25.598</f>
        <v>31.128999999999998</v>
      </c>
      <c r="R30" s="29">
        <v>20.507000000000001</v>
      </c>
      <c r="S30" s="29">
        <f>5.531+25.566</f>
        <v>31.096999999999998</v>
      </c>
    </row>
    <row r="31" spans="2:21" x14ac:dyDescent="0.2">
      <c r="B31" s="1" t="s">
        <v>58</v>
      </c>
      <c r="I31" s="29">
        <v>23.667999999999999</v>
      </c>
      <c r="J31" s="49">
        <f t="shared" ref="J31:J50" si="11">S31</f>
        <v>27.736999999999998</v>
      </c>
      <c r="K31" s="29">
        <v>29.561</v>
      </c>
      <c r="R31" s="29">
        <v>20.547000000000001</v>
      </c>
      <c r="S31" s="29">
        <v>27.736999999999998</v>
      </c>
    </row>
    <row r="32" spans="2:21" x14ac:dyDescent="0.2">
      <c r="B32" s="1" t="s">
        <v>59</v>
      </c>
      <c r="I32" s="29">
        <v>32.344000000000001</v>
      </c>
      <c r="J32" s="49">
        <f t="shared" si="11"/>
        <v>28.286999999999999</v>
      </c>
      <c r="K32" s="29">
        <v>28.315000000000001</v>
      </c>
      <c r="R32" s="29">
        <v>32.523000000000003</v>
      </c>
      <c r="S32" s="29">
        <v>28.286999999999999</v>
      </c>
    </row>
    <row r="33" spans="2:19" s="2" customFormat="1" x14ac:dyDescent="0.2">
      <c r="B33" s="2" t="s">
        <v>60</v>
      </c>
      <c r="D33" s="32"/>
      <c r="F33" s="32"/>
      <c r="H33" s="32"/>
      <c r="I33" s="28">
        <v>0.02</v>
      </c>
      <c r="J33" s="48">
        <f>S33</f>
        <v>0</v>
      </c>
      <c r="K33" s="28">
        <v>9.2999999999999999E-2</v>
      </c>
      <c r="L33" s="32"/>
      <c r="R33" s="28">
        <v>0.38300000000000001</v>
      </c>
      <c r="S33" s="28">
        <v>0</v>
      </c>
    </row>
    <row r="34" spans="2:19" x14ac:dyDescent="0.2">
      <c r="B34" s="1" t="s">
        <v>61</v>
      </c>
      <c r="I34" s="29">
        <v>2.831</v>
      </c>
      <c r="J34" s="49">
        <f t="shared" si="11"/>
        <v>0.90800000000000003</v>
      </c>
      <c r="K34" s="29">
        <v>0</v>
      </c>
      <c r="R34" s="29">
        <f>2.099+3.034</f>
        <v>5.133</v>
      </c>
      <c r="S34" s="29">
        <v>0.90800000000000003</v>
      </c>
    </row>
    <row r="35" spans="2:19" x14ac:dyDescent="0.2">
      <c r="B35" s="1" t="s">
        <v>62</v>
      </c>
      <c r="I35" s="29">
        <f>SUM(I30:I34)</f>
        <v>77.61099999999999</v>
      </c>
      <c r="J35" s="49">
        <f t="shared" si="11"/>
        <v>88.028999999999996</v>
      </c>
      <c r="K35" s="29">
        <f>SUM(K30:K34)</f>
        <v>89.097999999999999</v>
      </c>
      <c r="R35" s="29">
        <f>SUM(R30:R34)</f>
        <v>79.092999999999989</v>
      </c>
      <c r="S35" s="29">
        <f>SUM(S30:S34)</f>
        <v>88.028999999999996</v>
      </c>
    </row>
    <row r="36" spans="2:19" s="2" customFormat="1" x14ac:dyDescent="0.2">
      <c r="B36" s="2" t="s">
        <v>63</v>
      </c>
      <c r="D36" s="32"/>
      <c r="F36" s="32"/>
      <c r="H36" s="32"/>
      <c r="I36" s="28">
        <v>42.704000000000001</v>
      </c>
      <c r="J36" s="48">
        <f>S36</f>
        <v>46.624000000000002</v>
      </c>
      <c r="K36" s="28">
        <v>61.878</v>
      </c>
      <c r="L36" s="32"/>
      <c r="R36" s="28">
        <v>32.938000000000002</v>
      </c>
      <c r="S36" s="28">
        <v>46.624000000000002</v>
      </c>
    </row>
    <row r="37" spans="2:19" x14ac:dyDescent="0.2">
      <c r="B37" s="1" t="s">
        <v>64</v>
      </c>
      <c r="I37" s="29">
        <v>1.6140000000000001</v>
      </c>
      <c r="J37" s="49">
        <f t="shared" si="11"/>
        <v>0.92500000000000004</v>
      </c>
      <c r="K37" s="29">
        <v>1.591</v>
      </c>
      <c r="R37" s="29">
        <v>2.3639999999999999</v>
      </c>
      <c r="S37" s="29">
        <v>0.92500000000000004</v>
      </c>
    </row>
    <row r="38" spans="2:19" x14ac:dyDescent="0.2">
      <c r="B38" s="1" t="s">
        <v>68</v>
      </c>
      <c r="I38" s="29">
        <v>13.471</v>
      </c>
      <c r="J38" s="49">
        <f t="shared" si="11"/>
        <v>14.996</v>
      </c>
      <c r="K38" s="29">
        <v>21.268000000000001</v>
      </c>
      <c r="R38" s="29">
        <v>9.2260000000000009</v>
      </c>
      <c r="S38" s="29">
        <v>14.996</v>
      </c>
    </row>
    <row r="39" spans="2:19" s="2" customFormat="1" x14ac:dyDescent="0.2">
      <c r="B39" s="2" t="s">
        <v>6</v>
      </c>
      <c r="D39" s="32"/>
      <c r="F39" s="32"/>
      <c r="H39" s="32"/>
      <c r="I39" s="28">
        <v>28.577000000000002</v>
      </c>
      <c r="J39" s="48">
        <f>S39</f>
        <v>17.997</v>
      </c>
      <c r="K39" s="28">
        <v>17.032</v>
      </c>
      <c r="L39" s="32"/>
      <c r="R39" s="28">
        <v>26.242999999999999</v>
      </c>
      <c r="S39" s="28">
        <v>17.997</v>
      </c>
    </row>
    <row r="40" spans="2:19" s="2" customFormat="1" x14ac:dyDescent="0.2">
      <c r="B40" s="2" t="s">
        <v>60</v>
      </c>
      <c r="D40" s="32"/>
      <c r="F40" s="32"/>
      <c r="H40" s="32"/>
      <c r="I40" s="28">
        <v>0.13100000000000001</v>
      </c>
      <c r="J40" s="49">
        <f t="shared" si="11"/>
        <v>0</v>
      </c>
      <c r="K40" s="28">
        <v>2.226</v>
      </c>
      <c r="L40" s="32"/>
      <c r="R40" s="28">
        <v>0.92800000000000005</v>
      </c>
      <c r="S40" s="28">
        <v>0</v>
      </c>
    </row>
    <row r="41" spans="2:19" x14ac:dyDescent="0.2">
      <c r="B41" s="1" t="s">
        <v>66</v>
      </c>
      <c r="I41" s="29">
        <v>0</v>
      </c>
      <c r="J41" s="49">
        <f t="shared" si="11"/>
        <v>4.8</v>
      </c>
      <c r="K41" s="29">
        <v>0</v>
      </c>
      <c r="R41" s="29">
        <v>0</v>
      </c>
      <c r="S41" s="29">
        <v>4.8</v>
      </c>
    </row>
    <row r="42" spans="2:19" x14ac:dyDescent="0.2">
      <c r="B42" s="1" t="s">
        <v>65</v>
      </c>
      <c r="I42" s="29">
        <f>SUM(I36:I41)+I35</f>
        <v>164.108</v>
      </c>
      <c r="J42" s="49">
        <f t="shared" si="11"/>
        <v>173.37099999999998</v>
      </c>
      <c r="K42" s="29">
        <f>SUM(K36:K41)+K35</f>
        <v>193.09299999999999</v>
      </c>
      <c r="R42" s="29">
        <f>SUM(R36:R41)+R35</f>
        <v>150.79199999999997</v>
      </c>
      <c r="S42" s="29">
        <f>SUM(S36:S41)+S35</f>
        <v>173.37099999999998</v>
      </c>
    </row>
    <row r="43" spans="2:19" x14ac:dyDescent="0.2">
      <c r="K43" s="29"/>
    </row>
    <row r="44" spans="2:19" x14ac:dyDescent="0.2">
      <c r="B44" s="1" t="s">
        <v>67</v>
      </c>
      <c r="I44" s="29">
        <v>56.731000000000002</v>
      </c>
      <c r="J44" s="49">
        <f t="shared" si="11"/>
        <v>58.75</v>
      </c>
      <c r="K44" s="29">
        <v>69.251000000000005</v>
      </c>
      <c r="R44" s="29">
        <v>31.678000000000001</v>
      </c>
      <c r="S44" s="29">
        <v>58.75</v>
      </c>
    </row>
    <row r="45" spans="2:19" x14ac:dyDescent="0.2">
      <c r="B45" s="1" t="s">
        <v>69</v>
      </c>
      <c r="I45" s="29">
        <v>10.484999999999999</v>
      </c>
      <c r="J45" s="49">
        <f t="shared" si="11"/>
        <v>9.36</v>
      </c>
      <c r="K45" s="29">
        <v>9.7539999999999996</v>
      </c>
      <c r="R45" s="29">
        <v>11.047000000000001</v>
      </c>
      <c r="S45" s="29">
        <v>9.36</v>
      </c>
    </row>
    <row r="46" spans="2:19" x14ac:dyDescent="0.2">
      <c r="B46" s="1" t="s">
        <v>70</v>
      </c>
      <c r="I46" s="29">
        <v>0.998</v>
      </c>
      <c r="J46" s="49">
        <f t="shared" si="11"/>
        <v>0.52</v>
      </c>
      <c r="K46" s="29">
        <v>9.8000000000000004E-2</v>
      </c>
      <c r="R46" s="29">
        <v>0</v>
      </c>
      <c r="S46" s="29">
        <v>0.52</v>
      </c>
    </row>
    <row r="47" spans="2:19" s="2" customFormat="1" x14ac:dyDescent="0.2">
      <c r="B47" s="2" t="s">
        <v>71</v>
      </c>
      <c r="D47" s="32"/>
      <c r="F47" s="32"/>
      <c r="H47" s="32"/>
      <c r="I47" s="28">
        <v>4.3959999999999999</v>
      </c>
      <c r="J47" s="48">
        <f>S47</f>
        <v>6.1959999999999997</v>
      </c>
      <c r="K47" s="28">
        <v>14.148999999999999</v>
      </c>
      <c r="L47" s="32"/>
      <c r="R47" s="28">
        <v>12.923999999999999</v>
      </c>
      <c r="S47" s="28">
        <v>6.1959999999999997</v>
      </c>
    </row>
    <row r="48" spans="2:19" x14ac:dyDescent="0.2">
      <c r="B48" s="1" t="s">
        <v>72</v>
      </c>
      <c r="I48" s="29">
        <v>2.4649999999999999</v>
      </c>
      <c r="J48" s="49">
        <f t="shared" si="11"/>
        <v>2.94</v>
      </c>
      <c r="K48" s="29">
        <v>2.9020000000000001</v>
      </c>
      <c r="R48" s="29">
        <v>2.3679999999999999</v>
      </c>
      <c r="S48" s="29">
        <v>2.94</v>
      </c>
    </row>
    <row r="49" spans="2:19" x14ac:dyDescent="0.2">
      <c r="B49" s="1" t="s">
        <v>73</v>
      </c>
      <c r="I49" s="29">
        <v>3.7679999999999998</v>
      </c>
      <c r="J49" s="49">
        <f t="shared" si="11"/>
        <v>2.0259999999999998</v>
      </c>
      <c r="K49" s="29">
        <v>3.7</v>
      </c>
      <c r="R49" s="29">
        <v>5.1289999999999996</v>
      </c>
      <c r="S49" s="29">
        <v>2.0259999999999998</v>
      </c>
    </row>
    <row r="50" spans="2:19" x14ac:dyDescent="0.2">
      <c r="B50" s="1" t="s">
        <v>66</v>
      </c>
      <c r="I50" s="29">
        <v>0</v>
      </c>
      <c r="J50" s="49">
        <f t="shared" si="11"/>
        <v>2.4</v>
      </c>
      <c r="K50" s="29">
        <v>0</v>
      </c>
      <c r="R50" s="29">
        <v>0</v>
      </c>
      <c r="S50" s="29">
        <v>2.4</v>
      </c>
    </row>
    <row r="51" spans="2:19" s="2" customFormat="1" x14ac:dyDescent="0.2">
      <c r="B51" s="2" t="s">
        <v>60</v>
      </c>
      <c r="D51" s="32"/>
      <c r="F51" s="32"/>
      <c r="H51" s="32"/>
      <c r="I51" s="28">
        <v>0</v>
      </c>
      <c r="J51" s="48">
        <f>S51</f>
        <v>3.129</v>
      </c>
      <c r="K51" s="28">
        <v>0</v>
      </c>
      <c r="L51" s="32"/>
      <c r="R51" s="28">
        <v>0</v>
      </c>
      <c r="S51" s="28">
        <v>3.129</v>
      </c>
    </row>
    <row r="52" spans="2:19" s="2" customFormat="1" x14ac:dyDescent="0.2">
      <c r="B52" s="2" t="s">
        <v>74</v>
      </c>
      <c r="D52" s="32"/>
      <c r="F52" s="32"/>
      <c r="H52" s="32"/>
      <c r="I52" s="28">
        <v>0</v>
      </c>
      <c r="J52" s="48">
        <f>S52</f>
        <v>5.6459999999999999</v>
      </c>
      <c r="K52" s="28">
        <v>3.4550000000000001</v>
      </c>
      <c r="L52" s="32"/>
      <c r="R52" s="28">
        <v>0</v>
      </c>
      <c r="S52" s="28">
        <v>5.6459999999999999</v>
      </c>
    </row>
    <row r="53" spans="2:19" x14ac:dyDescent="0.2">
      <c r="B53" s="1" t="s">
        <v>75</v>
      </c>
      <c r="I53" s="29">
        <f>SUM(I44:I52)</f>
        <v>78.843000000000018</v>
      </c>
      <c r="J53" s="49">
        <f t="shared" ref="J53" si="12">S53</f>
        <v>90.966999999999999</v>
      </c>
      <c r="K53" s="29">
        <f>SUM(K44:K52)</f>
        <v>103.30900000000001</v>
      </c>
      <c r="R53" s="29">
        <f>SUM(R44:R52)</f>
        <v>63.146000000000001</v>
      </c>
      <c r="S53" s="29">
        <f>SUM(S44:S52)</f>
        <v>90.966999999999999</v>
      </c>
    </row>
    <row r="54" spans="2:19" s="2" customFormat="1" x14ac:dyDescent="0.2">
      <c r="B54" s="2" t="s">
        <v>71</v>
      </c>
      <c r="D54" s="32"/>
      <c r="F54" s="32"/>
      <c r="H54" s="32"/>
      <c r="I54" s="28">
        <v>8.5329999999999995</v>
      </c>
      <c r="J54" s="48">
        <f>S54</f>
        <v>7.7240000000000002</v>
      </c>
      <c r="K54" s="28">
        <v>8.2520000000000007</v>
      </c>
      <c r="L54" s="32"/>
      <c r="R54" s="28">
        <v>8.7799999999999994</v>
      </c>
      <c r="S54" s="28">
        <v>7.7240000000000002</v>
      </c>
    </row>
    <row r="55" spans="2:19" x14ac:dyDescent="0.2">
      <c r="B55" s="1" t="s">
        <v>69</v>
      </c>
      <c r="I55" s="29">
        <v>34.46</v>
      </c>
      <c r="J55" s="49">
        <f t="shared" ref="J55:J58" si="13">S55</f>
        <v>30.451000000000001</v>
      </c>
      <c r="K55" s="29">
        <v>28.396999999999998</v>
      </c>
      <c r="R55" s="29">
        <v>35.634999999999998</v>
      </c>
      <c r="S55" s="29">
        <v>30.451000000000001</v>
      </c>
    </row>
    <row r="56" spans="2:19" x14ac:dyDescent="0.2">
      <c r="B56" s="1" t="s">
        <v>61</v>
      </c>
      <c r="I56" s="29">
        <v>0</v>
      </c>
      <c r="J56" s="49">
        <f t="shared" si="13"/>
        <v>0</v>
      </c>
      <c r="K56" s="29">
        <v>0.49099999999999999</v>
      </c>
      <c r="R56" s="29">
        <v>0</v>
      </c>
      <c r="S56" s="29">
        <v>0</v>
      </c>
    </row>
    <row r="57" spans="2:19" x14ac:dyDescent="0.2">
      <c r="B57" s="1" t="s">
        <v>60</v>
      </c>
      <c r="I57" s="29">
        <v>1.228</v>
      </c>
      <c r="J57" s="49">
        <f t="shared" si="13"/>
        <v>0</v>
      </c>
      <c r="K57" s="29">
        <v>0</v>
      </c>
      <c r="R57" s="29">
        <v>0.47299999999999998</v>
      </c>
      <c r="S57" s="29">
        <v>0</v>
      </c>
    </row>
    <row r="58" spans="2:19" x14ac:dyDescent="0.2">
      <c r="B58" s="1" t="s">
        <v>76</v>
      </c>
      <c r="I58" s="29">
        <f>I53+SUM(I54:I57)</f>
        <v>123.06400000000002</v>
      </c>
      <c r="J58" s="49">
        <f t="shared" si="13"/>
        <v>129.142</v>
      </c>
      <c r="K58" s="29">
        <f>K53+SUM(K54:K57)</f>
        <v>140.44900000000001</v>
      </c>
      <c r="R58" s="29">
        <f>R53+SUM(R54:R57)</f>
        <v>108.03399999999999</v>
      </c>
      <c r="S58" s="29">
        <f>S53+SUM(S54:S57)</f>
        <v>129.142</v>
      </c>
    </row>
    <row r="60" spans="2:19" x14ac:dyDescent="0.2">
      <c r="B60" s="1" t="s">
        <v>77</v>
      </c>
      <c r="I60" s="29">
        <v>41.043999999999997</v>
      </c>
      <c r="J60" s="49">
        <f t="shared" ref="J60:J61" si="14">S60</f>
        <v>44.228999999999999</v>
      </c>
      <c r="K60" s="29">
        <v>52.643999999999998</v>
      </c>
      <c r="R60" s="29">
        <v>42.758000000000003</v>
      </c>
      <c r="S60" s="29">
        <v>44.228999999999999</v>
      </c>
    </row>
    <row r="61" spans="2:19" x14ac:dyDescent="0.2">
      <c r="B61" s="1" t="s">
        <v>78</v>
      </c>
      <c r="I61" s="29">
        <f>I60+I58</f>
        <v>164.108</v>
      </c>
      <c r="J61" s="49">
        <f t="shared" si="14"/>
        <v>173.37099999999998</v>
      </c>
      <c r="K61" s="29">
        <f>K60+K58</f>
        <v>193.09300000000002</v>
      </c>
      <c r="R61" s="29">
        <f>R60+R58</f>
        <v>150.792</v>
      </c>
      <c r="S61" s="29">
        <f>S60+S58</f>
        <v>173.37099999999998</v>
      </c>
    </row>
    <row r="63" spans="2:19" x14ac:dyDescent="0.2">
      <c r="B63" s="1" t="s">
        <v>79</v>
      </c>
      <c r="I63" s="29">
        <f>I42-I58</f>
        <v>41.043999999999983</v>
      </c>
      <c r="J63" s="49">
        <f t="shared" ref="J63" si="15">S63</f>
        <v>44.228999999999985</v>
      </c>
      <c r="K63" s="29">
        <f>K42-K58</f>
        <v>52.643999999999977</v>
      </c>
      <c r="R63" s="29">
        <f t="shared" ref="R63:S63" si="16">R42-R58</f>
        <v>42.757999999999981</v>
      </c>
      <c r="S63" s="29">
        <f t="shared" si="16"/>
        <v>44.228999999999985</v>
      </c>
    </row>
    <row r="64" spans="2:19" x14ac:dyDescent="0.2">
      <c r="B64" s="1" t="s">
        <v>80</v>
      </c>
      <c r="I64" s="1">
        <f>I63/I17</f>
        <v>0.39926070038910488</v>
      </c>
      <c r="J64" s="33">
        <f>S64</f>
        <v>0.40508231444081211</v>
      </c>
      <c r="K64" s="1">
        <f>K63/K17</f>
        <v>0.47728014505893002</v>
      </c>
      <c r="R64" s="1">
        <f t="shared" ref="R64:S64" si="17">R63/R17</f>
        <v>0.45570112988792011</v>
      </c>
      <c r="S64" s="1">
        <f t="shared" si="17"/>
        <v>0.40508231444081211</v>
      </c>
    </row>
    <row r="66" spans="1:19" s="2" customFormat="1" x14ac:dyDescent="0.2">
      <c r="B66" s="2" t="s">
        <v>81</v>
      </c>
      <c r="D66" s="32"/>
      <c r="F66" s="32"/>
      <c r="H66" s="32"/>
      <c r="J66" s="32"/>
      <c r="K66" s="34">
        <f>K36/I36-1</f>
        <v>0.44899775196702874</v>
      </c>
      <c r="L66" s="32"/>
      <c r="S66" s="34">
        <f>S36/R36-1</f>
        <v>0.41550792397838365</v>
      </c>
    </row>
    <row r="67" spans="1:19" x14ac:dyDescent="0.2">
      <c r="B67" s="1" t="s">
        <v>82</v>
      </c>
      <c r="J67" s="50">
        <f>J36/I36-1</f>
        <v>9.1794679655301747E-2</v>
      </c>
      <c r="K67" s="37">
        <f>K36/J36-1</f>
        <v>0.32717055593685651</v>
      </c>
      <c r="R67" s="20" t="s">
        <v>55</v>
      </c>
      <c r="S67" s="20" t="s">
        <v>55</v>
      </c>
    </row>
    <row r="69" spans="1:19" s="39" customFormat="1" x14ac:dyDescent="0.2">
      <c r="B69" s="39" t="s">
        <v>6</v>
      </c>
      <c r="D69" s="40"/>
      <c r="F69" s="40"/>
      <c r="H69" s="40"/>
      <c r="I69" s="41">
        <f>I40+I39+I33</f>
        <v>28.728000000000002</v>
      </c>
      <c r="J69" s="54">
        <f>J40+J39+J33</f>
        <v>17.997</v>
      </c>
      <c r="K69" s="41">
        <f>K40+K39+K33</f>
        <v>19.350999999999999</v>
      </c>
      <c r="L69" s="40"/>
      <c r="R69" s="41">
        <f>R40+R39+R33</f>
        <v>27.553999999999998</v>
      </c>
      <c r="S69" s="41">
        <f>S40+S39+S33</f>
        <v>17.997</v>
      </c>
    </row>
    <row r="70" spans="1:19" s="39" customFormat="1" x14ac:dyDescent="0.2">
      <c r="B70" s="39" t="s">
        <v>7</v>
      </c>
      <c r="D70" s="40"/>
      <c r="F70" s="40"/>
      <c r="H70" s="40"/>
      <c r="I70" s="41">
        <f>I47+I51+I52+I54</f>
        <v>12.928999999999998</v>
      </c>
      <c r="J70" s="54">
        <f>J47+J51+J52+J54</f>
        <v>22.695</v>
      </c>
      <c r="K70" s="41">
        <f>K47+K51+K52+K54</f>
        <v>25.856000000000002</v>
      </c>
      <c r="L70" s="40"/>
      <c r="R70" s="41">
        <f>R47+R51+R52+R54</f>
        <v>21.704000000000001</v>
      </c>
      <c r="S70" s="41">
        <f>S47+S51+S52+S54</f>
        <v>22.695</v>
      </c>
    </row>
    <row r="71" spans="1:19" x14ac:dyDescent="0.2">
      <c r="B71" s="1" t="s">
        <v>8</v>
      </c>
      <c r="I71" s="29">
        <f>I69-I70</f>
        <v>15.799000000000003</v>
      </c>
      <c r="J71" s="49">
        <f>J69-J70</f>
        <v>-4.6980000000000004</v>
      </c>
      <c r="K71" s="29">
        <f>K69-K70</f>
        <v>-6.5050000000000026</v>
      </c>
      <c r="R71" s="29">
        <f>R69-R70</f>
        <v>5.8499999999999979</v>
      </c>
      <c r="S71" s="29">
        <f>S69-S70</f>
        <v>-4.6980000000000004</v>
      </c>
    </row>
    <row r="73" spans="1:19" x14ac:dyDescent="0.2">
      <c r="B73" s="1" t="s">
        <v>83</v>
      </c>
      <c r="I73" s="1">
        <v>1.1100000000000001</v>
      </c>
      <c r="J73" s="33">
        <f>S73</f>
        <v>2.78</v>
      </c>
      <c r="K73" s="43">
        <v>9.9000000000000005E-2</v>
      </c>
      <c r="R73" s="1">
        <v>1.37</v>
      </c>
      <c r="S73" s="1">
        <v>2.78</v>
      </c>
    </row>
    <row r="74" spans="1:19" x14ac:dyDescent="0.2">
      <c r="B74" s="1" t="s">
        <v>5</v>
      </c>
      <c r="I74" s="29">
        <f>I73*I17</f>
        <v>114.108</v>
      </c>
      <c r="J74" s="49">
        <f t="shared" ref="J74" si="18">J73*J17</f>
        <v>303.53490047999998</v>
      </c>
      <c r="K74" s="29">
        <f>K73*K17</f>
        <v>10.919700000000001</v>
      </c>
      <c r="R74" s="29">
        <f>R73*R17</f>
        <v>128.54578617000001</v>
      </c>
      <c r="S74" s="29">
        <f>S73*S17</f>
        <v>303.53490047999998</v>
      </c>
    </row>
    <row r="75" spans="1:19" x14ac:dyDescent="0.2">
      <c r="B75" s="1" t="s">
        <v>9</v>
      </c>
      <c r="I75" s="29">
        <f>I74-I71</f>
        <v>98.308999999999997</v>
      </c>
      <c r="J75" s="49">
        <f t="shared" ref="J75" si="19">J74-J71</f>
        <v>308.23290047999996</v>
      </c>
      <c r="K75" s="29">
        <f>K74-K71</f>
        <v>17.424700000000001</v>
      </c>
      <c r="R75" s="29">
        <f>R74-R71</f>
        <v>122.69578617000002</v>
      </c>
      <c r="S75" s="29">
        <f>S74-S71</f>
        <v>308.23290047999996</v>
      </c>
    </row>
    <row r="77" spans="1:19" x14ac:dyDescent="0.2">
      <c r="A77" s="56">
        <f>AVERAGE(C77:AB77)</f>
        <v>3.9439051022330447</v>
      </c>
      <c r="B77" s="1" t="s">
        <v>84</v>
      </c>
      <c r="I77" s="42">
        <f>I73/I64</f>
        <v>2.7801383880713395</v>
      </c>
      <c r="J77" s="55">
        <f t="shared" ref="J77" si="20">J73/J64</f>
        <v>6.8628026968730937</v>
      </c>
      <c r="K77" s="42">
        <f>K73/K64</f>
        <v>0.20742534761796225</v>
      </c>
      <c r="R77" s="42">
        <f>R73/R64</f>
        <v>3.0063563817297365</v>
      </c>
      <c r="S77" s="42">
        <f>S73/S64</f>
        <v>6.8628026968730937</v>
      </c>
    </row>
    <row r="78" spans="1:19" x14ac:dyDescent="0.2">
      <c r="B78" s="1" t="s">
        <v>85</v>
      </c>
    </row>
    <row r="79" spans="1:19" x14ac:dyDescent="0.2">
      <c r="B79" s="1" t="s">
        <v>86</v>
      </c>
    </row>
    <row r="80" spans="1:19" x14ac:dyDescent="0.2">
      <c r="B80" s="1" t="s">
        <v>87</v>
      </c>
      <c r="S80" s="42">
        <f>(S73/100)/S16</f>
        <v>3.3990470378499706</v>
      </c>
    </row>
    <row r="81" spans="1:19" s="37" customFormat="1" x14ac:dyDescent="0.2">
      <c r="A81" s="57">
        <f>AVERAGE(C81:AB81)</f>
        <v>-3.1128082589034309E-2</v>
      </c>
      <c r="B81" s="37" t="s">
        <v>102</v>
      </c>
      <c r="D81" s="50"/>
      <c r="F81" s="50"/>
      <c r="H81" s="50"/>
      <c r="J81" s="50">
        <f>SUM(I11:J11)/(J42-J53)</f>
        <v>4.3213921654288633E-2</v>
      </c>
      <c r="K81" s="37">
        <f>SUM(J11:K11)/(K42-K53)</f>
        <v>5.1946894769669537E-2</v>
      </c>
      <c r="L81" s="50"/>
      <c r="R81" s="37">
        <f>R11/(R42-R53)</f>
        <v>-0.26288706843438397</v>
      </c>
      <c r="S81" s="37">
        <f>S11/(S42-S53)</f>
        <v>4.3213921654288549E-2</v>
      </c>
    </row>
    <row r="83" spans="1:19" x14ac:dyDescent="0.2">
      <c r="B83" s="1" t="s">
        <v>99</v>
      </c>
      <c r="I83" s="37"/>
      <c r="J83" s="50">
        <f>J36/SUM(I4:J4)</f>
        <v>0.23428321616827549</v>
      </c>
      <c r="K83" s="37">
        <f>K36/SUM(J4:K4)</f>
        <v>0.26622666999389055</v>
      </c>
      <c r="R83" s="37">
        <f>R36/R4</f>
        <v>0.17262378935893674</v>
      </c>
      <c r="S83" s="37">
        <f>S36/S4</f>
        <v>0.23428321616827549</v>
      </c>
    </row>
  </sheetData>
  <hyperlinks>
    <hyperlink ref="K1" r:id="rId1" xr:uid="{08BE6534-85B4-466B-AF8F-EA576AD3A39A}"/>
    <hyperlink ref="S1" r:id="rId2" xr:uid="{AE8D872F-B169-B44D-9649-1C85ECE3670A}"/>
  </hyperlinks>
  <pageMargins left="0.7" right="0.7" top="0.75" bottom="0.75" header="0.3" footer="0.3"/>
  <ignoredErrors>
    <ignoredError sqref="J6:J17 J30:J64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2022-11-14T12:06:02Z</dcterms:created>
  <dcterms:modified xsi:type="dcterms:W3CDTF">2022-11-24T10:25:29Z</dcterms:modified>
</cp:coreProperties>
</file>