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6967B0F-88B0-4C05-8E0F-D6A004E7AA4C}" xr6:coauthVersionLast="36" xr6:coauthVersionMax="47" xr10:uidLastSave="{00000000-0000-0000-0000-000000000000}"/>
  <bookViews>
    <workbookView xWindow="-120" yWindow="-120" windowWidth="29040" windowHeight="15720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10" i="1"/>
  <c r="C9" i="1"/>
  <c r="C7" i="1"/>
  <c r="AA89" i="2"/>
  <c r="AB89" i="2"/>
  <c r="Q89" i="2"/>
  <c r="R89" i="2"/>
  <c r="P91" i="2"/>
  <c r="R91" i="2"/>
  <c r="Q88" i="2"/>
  <c r="Q87" i="2"/>
  <c r="Q86" i="2"/>
  <c r="P88" i="2"/>
  <c r="R88" i="2"/>
  <c r="H78" i="2"/>
  <c r="L78" i="2"/>
  <c r="N78" i="2"/>
  <c r="P78" i="2"/>
  <c r="R78" i="2"/>
  <c r="R77" i="2"/>
  <c r="R74" i="2"/>
  <c r="R75" i="2" s="1"/>
  <c r="R70" i="2"/>
  <c r="R69" i="2"/>
  <c r="R71" i="2" s="1"/>
  <c r="R66" i="2"/>
  <c r="R67" i="2" s="1"/>
  <c r="R64" i="2"/>
  <c r="R55" i="2"/>
  <c r="R61" i="2" s="1"/>
  <c r="R44" i="2"/>
  <c r="R49" i="2" s="1"/>
  <c r="R9" i="2"/>
  <c r="R4" i="2"/>
  <c r="R5" i="2"/>
  <c r="R16" i="2" s="1"/>
  <c r="R21" i="2"/>
  <c r="R8" i="2" l="1"/>
  <c r="AC9" i="2"/>
  <c r="R17" i="2" l="1"/>
  <c r="R10" i="2"/>
  <c r="R22" i="2"/>
  <c r="R19" i="2" l="1"/>
  <c r="R12" i="2"/>
  <c r="C25" i="1"/>
  <c r="AB25" i="2"/>
  <c r="AA92" i="2"/>
  <c r="AB92" i="2"/>
  <c r="AA91" i="2"/>
  <c r="AB91" i="2"/>
  <c r="AA87" i="2"/>
  <c r="AA88" i="2" s="1"/>
  <c r="AB87" i="2"/>
  <c r="AB88" i="2" s="1"/>
  <c r="C26" i="1"/>
  <c r="AB81" i="2"/>
  <c r="AB80" i="2"/>
  <c r="AB79" i="2"/>
  <c r="AB78" i="2"/>
  <c r="AB77" i="2"/>
  <c r="AB74" i="2"/>
  <c r="AB75" i="2" s="1"/>
  <c r="AB71" i="2"/>
  <c r="AB70" i="2"/>
  <c r="AB69" i="2"/>
  <c r="AB66" i="2"/>
  <c r="AB67" i="2" s="1"/>
  <c r="AB64" i="2"/>
  <c r="AB61" i="2"/>
  <c r="AB55" i="2"/>
  <c r="AB44" i="2"/>
  <c r="AB49" i="2" s="1"/>
  <c r="Z37" i="2"/>
  <c r="AA37" i="2"/>
  <c r="AB37" i="2"/>
  <c r="AB33" i="2"/>
  <c r="Q2" i="2"/>
  <c r="Q22" i="2"/>
  <c r="Q21" i="2"/>
  <c r="Q19" i="2"/>
  <c r="Q18" i="2"/>
  <c r="Q17" i="2"/>
  <c r="Q16" i="2"/>
  <c r="Q14" i="2"/>
  <c r="Q11" i="2"/>
  <c r="Q9" i="2"/>
  <c r="Q7" i="2"/>
  <c r="Q6" i="2"/>
  <c r="Q4" i="2"/>
  <c r="Q5" i="2" s="1"/>
  <c r="Q3" i="2"/>
  <c r="AB19" i="2"/>
  <c r="AB18" i="2"/>
  <c r="AB17" i="2"/>
  <c r="AB16" i="2"/>
  <c r="AB13" i="2"/>
  <c r="AB12" i="2"/>
  <c r="AB9" i="2"/>
  <c r="AB10" i="2"/>
  <c r="AB8" i="2"/>
  <c r="AB4" i="2"/>
  <c r="AB5" i="2" s="1"/>
  <c r="R18" i="2" l="1"/>
  <c r="R13" i="2"/>
  <c r="R80" i="2" s="1"/>
  <c r="Q8" i="2"/>
  <c r="Q10" i="2" s="1"/>
  <c r="Q12" i="2" s="1"/>
  <c r="Q13" i="2" s="1"/>
  <c r="AB21" i="2" l="1"/>
  <c r="AC3" i="2"/>
  <c r="P74" i="2" l="1"/>
  <c r="P70" i="2"/>
  <c r="P69" i="2"/>
  <c r="P55" i="2"/>
  <c r="P61" i="2" s="1"/>
  <c r="P64" i="2" s="1"/>
  <c r="P44" i="2"/>
  <c r="P49" i="2" s="1"/>
  <c r="P21" i="2"/>
  <c r="P9" i="2"/>
  <c r="P4" i="2"/>
  <c r="P5" i="2" s="1"/>
  <c r="P8" i="2" s="1"/>
  <c r="P10" i="2" l="1"/>
  <c r="P12" i="2" s="1"/>
  <c r="P13" i="2" s="1"/>
  <c r="P66" i="2"/>
  <c r="P67" i="2" s="1"/>
  <c r="P71" i="2"/>
  <c r="P75" i="2" s="1"/>
  <c r="P16" i="2"/>
  <c r="P17" i="2"/>
  <c r="X74" i="2"/>
  <c r="X78" i="2" s="1"/>
  <c r="W74" i="2"/>
  <c r="W78" i="2" s="1"/>
  <c r="V74" i="2"/>
  <c r="V78" i="2" s="1"/>
  <c r="U74" i="2"/>
  <c r="U78" i="2" s="1"/>
  <c r="T74" i="2"/>
  <c r="T78" i="2" s="1"/>
  <c r="L7" i="1"/>
  <c r="AC14" i="2"/>
  <c r="AC6" i="2"/>
  <c r="AC4" i="2"/>
  <c r="AC5" i="2" s="1"/>
  <c r="O28" i="2"/>
  <c r="O27" i="2"/>
  <c r="O26" i="2"/>
  <c r="AA74" i="2"/>
  <c r="AA78" i="2" s="1"/>
  <c r="AA70" i="2"/>
  <c r="AA69" i="2"/>
  <c r="AA55" i="2"/>
  <c r="AA44" i="2"/>
  <c r="AA49" i="2" s="1"/>
  <c r="AA33" i="2"/>
  <c r="AA25" i="2"/>
  <c r="AA29" i="2" s="1"/>
  <c r="O11" i="2"/>
  <c r="O7" i="2"/>
  <c r="O6" i="2"/>
  <c r="O14" i="2"/>
  <c r="O3" i="2"/>
  <c r="O2" i="2"/>
  <c r="AA21" i="2"/>
  <c r="AA9" i="2"/>
  <c r="O9" i="2" s="1"/>
  <c r="AA4" i="2"/>
  <c r="O4" i="2" s="1"/>
  <c r="AA5" i="2"/>
  <c r="AA16" i="2" s="1"/>
  <c r="P18" i="2" l="1"/>
  <c r="P19" i="2"/>
  <c r="AA61" i="2"/>
  <c r="AA64" i="2" s="1"/>
  <c r="O5" i="2"/>
  <c r="O16" i="2" s="1"/>
  <c r="P77" i="2"/>
  <c r="AA66" i="2"/>
  <c r="AA67" i="2" s="1"/>
  <c r="AA77" i="2" s="1"/>
  <c r="O22" i="2"/>
  <c r="P22" i="2"/>
  <c r="AA71" i="2"/>
  <c r="AA75" i="2" s="1"/>
  <c r="AC16" i="2"/>
  <c r="AC7" i="2"/>
  <c r="AC8" i="2" s="1"/>
  <c r="O25" i="2"/>
  <c r="AA8" i="2"/>
  <c r="AA10" i="2" s="1"/>
  <c r="AA19" i="2" s="1"/>
  <c r="AA12" i="2"/>
  <c r="AA17" i="2"/>
  <c r="O8" i="2"/>
  <c r="AC17" i="2" l="1"/>
  <c r="AA18" i="2"/>
  <c r="AA13" i="2"/>
  <c r="AA81" i="2"/>
  <c r="AA79" i="2"/>
  <c r="O10" i="2"/>
  <c r="O17" i="2"/>
  <c r="N74" i="2"/>
  <c r="N70" i="2"/>
  <c r="N69" i="2"/>
  <c r="N55" i="2"/>
  <c r="N44" i="2"/>
  <c r="N49" i="2" s="1"/>
  <c r="N5" i="2"/>
  <c r="N8" i="2" s="1"/>
  <c r="N10" i="2" s="1"/>
  <c r="N12" i="2" s="1"/>
  <c r="N18" i="2" s="1"/>
  <c r="N61" i="2" l="1"/>
  <c r="N64" i="2" s="1"/>
  <c r="AA80" i="2"/>
  <c r="N66" i="2"/>
  <c r="N67" i="2" s="1"/>
  <c r="N77" i="2" s="1"/>
  <c r="N71" i="2"/>
  <c r="N75" i="2"/>
  <c r="O12" i="2"/>
  <c r="O19" i="2"/>
  <c r="N13" i="2"/>
  <c r="N19" i="2"/>
  <c r="N16" i="2"/>
  <c r="N17" i="2"/>
  <c r="N21" i="2"/>
  <c r="O13" i="2" l="1"/>
  <c r="O18" i="2"/>
  <c r="Y33" i="2"/>
  <c r="X33" i="2"/>
  <c r="W33" i="2"/>
  <c r="V33" i="2"/>
  <c r="U33" i="2"/>
  <c r="T33" i="2"/>
  <c r="Z33" i="2"/>
  <c r="P80" i="2" l="1"/>
  <c r="AD19" i="2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D14" i="2"/>
  <c r="AD6" i="2"/>
  <c r="AE6" i="2" s="1"/>
  <c r="Z25" i="2"/>
  <c r="Z29" i="2" s="1"/>
  <c r="L74" i="2"/>
  <c r="H74" i="2"/>
  <c r="Y74" i="2"/>
  <c r="Z74" i="2"/>
  <c r="H70" i="2"/>
  <c r="H69" i="2"/>
  <c r="L70" i="2"/>
  <c r="L69" i="2"/>
  <c r="Y70" i="2"/>
  <c r="Y69" i="2"/>
  <c r="Y71" i="2" s="1"/>
  <c r="Z70" i="2"/>
  <c r="Z69" i="2"/>
  <c r="Y55" i="2"/>
  <c r="Z55" i="2"/>
  <c r="Y44" i="2"/>
  <c r="Y49" i="2" s="1"/>
  <c r="Z44" i="2"/>
  <c r="Z49" i="2" s="1"/>
  <c r="M14" i="2"/>
  <c r="Z21" i="2"/>
  <c r="Z9" i="2"/>
  <c r="Z5" i="2"/>
  <c r="Z8" i="2" s="1"/>
  <c r="Z17" i="2" s="1"/>
  <c r="M11" i="2"/>
  <c r="M7" i="2"/>
  <c r="M6" i="2"/>
  <c r="M4" i="2"/>
  <c r="M3" i="2"/>
  <c r="O21" i="2" s="1"/>
  <c r="Y61" i="2" l="1"/>
  <c r="Y66" i="2" s="1"/>
  <c r="Y67" i="2" s="1"/>
  <c r="Y77" i="2" s="1"/>
  <c r="Z61" i="2"/>
  <c r="Z64" i="2" s="1"/>
  <c r="AD3" i="2"/>
  <c r="M22" i="2"/>
  <c r="N22" i="2"/>
  <c r="AF6" i="2"/>
  <c r="AG6" i="2" s="1"/>
  <c r="AH6" i="2" s="1"/>
  <c r="H71" i="2"/>
  <c r="H75" i="2" s="1"/>
  <c r="Z71" i="2"/>
  <c r="Z75" i="2" s="1"/>
  <c r="Z79" i="2" s="1"/>
  <c r="Z10" i="2"/>
  <c r="Z66" i="2"/>
  <c r="Z67" i="2" s="1"/>
  <c r="Z77" i="2" s="1"/>
  <c r="L71" i="2"/>
  <c r="L75" i="2" s="1"/>
  <c r="Y75" i="2"/>
  <c r="Y78" i="2"/>
  <c r="Z78" i="2"/>
  <c r="M5" i="2"/>
  <c r="M16" i="2" s="1"/>
  <c r="Z16" i="2"/>
  <c r="M9" i="2"/>
  <c r="U29" i="2"/>
  <c r="T29" i="2"/>
  <c r="U31" i="2"/>
  <c r="T31" i="2"/>
  <c r="U21" i="2"/>
  <c r="T9" i="2"/>
  <c r="U9" i="2"/>
  <c r="T5" i="2"/>
  <c r="T8" i="2" s="1"/>
  <c r="V21" i="2"/>
  <c r="U5" i="2"/>
  <c r="U16" i="2" s="1"/>
  <c r="AE3" i="2" l="1"/>
  <c r="AD4" i="2"/>
  <c r="Y64" i="2"/>
  <c r="AI6" i="2"/>
  <c r="Y79" i="2"/>
  <c r="M8" i="2"/>
  <c r="M10" i="2" s="1"/>
  <c r="M12" i="2" s="1"/>
  <c r="Z12" i="2"/>
  <c r="Z81" i="2" s="1"/>
  <c r="Z19" i="2"/>
  <c r="T16" i="2"/>
  <c r="T17" i="2"/>
  <c r="T10" i="2"/>
  <c r="U8" i="2"/>
  <c r="AF3" i="2" l="1"/>
  <c r="AE4" i="2"/>
  <c r="AJ6" i="2"/>
  <c r="AK6" i="2" s="1"/>
  <c r="M19" i="2"/>
  <c r="M17" i="2"/>
  <c r="Z13" i="2"/>
  <c r="Z80" i="2" s="1"/>
  <c r="Z18" i="2"/>
  <c r="M18" i="2"/>
  <c r="T12" i="2"/>
  <c r="T18" i="2" s="1"/>
  <c r="T19" i="2"/>
  <c r="U17" i="2"/>
  <c r="U10" i="2"/>
  <c r="AG3" i="2" l="1"/>
  <c r="AF4" i="2"/>
  <c r="AL6" i="2"/>
  <c r="AM6" i="2" s="1"/>
  <c r="AN6" i="2" s="1"/>
  <c r="T13" i="2"/>
  <c r="T80" i="2" s="1"/>
  <c r="U12" i="2"/>
  <c r="U13" i="2" s="1"/>
  <c r="U80" i="2" s="1"/>
  <c r="U19" i="2"/>
  <c r="AH3" i="2" l="1"/>
  <c r="AG4" i="2"/>
  <c r="AO6" i="2"/>
  <c r="AP6" i="2" s="1"/>
  <c r="U18" i="2"/>
  <c r="AI3" i="2" l="1"/>
  <c r="AH4" i="2"/>
  <c r="AQ6" i="2"/>
  <c r="AR6" i="2" s="1"/>
  <c r="G14" i="2"/>
  <c r="I14" i="2"/>
  <c r="K14" i="2"/>
  <c r="M13" i="2"/>
  <c r="N80" i="2" s="1"/>
  <c r="H21" i="2"/>
  <c r="J21" i="2"/>
  <c r="L21" i="2"/>
  <c r="W21" i="2"/>
  <c r="X21" i="2"/>
  <c r="Y21" i="2"/>
  <c r="AU21" i="2"/>
  <c r="W25" i="2"/>
  <c r="W29" i="2" s="1"/>
  <c r="Y25" i="2"/>
  <c r="Y29" i="2" s="1"/>
  <c r="AJ3" i="2" l="1"/>
  <c r="AI4" i="2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H55" i="2"/>
  <c r="H44" i="2"/>
  <c r="H49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V9" i="2"/>
  <c r="V5" i="2"/>
  <c r="W9" i="2"/>
  <c r="W5" i="2"/>
  <c r="W16" i="2" s="1"/>
  <c r="K11" i="2"/>
  <c r="K9" i="2"/>
  <c r="K7" i="2"/>
  <c r="K6" i="2"/>
  <c r="K4" i="2"/>
  <c r="K3" i="2"/>
  <c r="X9" i="2"/>
  <c r="X5" i="2"/>
  <c r="X16" i="2" s="1"/>
  <c r="Y5" i="2"/>
  <c r="L55" i="2"/>
  <c r="L44" i="2"/>
  <c r="L49" i="2" s="1"/>
  <c r="J5" i="2"/>
  <c r="J16" i="2" s="1"/>
  <c r="L5" i="2"/>
  <c r="L16" i="2" s="1"/>
  <c r="AK3" i="2" l="1"/>
  <c r="AJ4" i="2"/>
  <c r="L61" i="2"/>
  <c r="L66" i="2" s="1"/>
  <c r="L67" i="2" s="1"/>
  <c r="L77" i="2" s="1"/>
  <c r="H61" i="2"/>
  <c r="H64" i="2" s="1"/>
  <c r="AC10" i="2"/>
  <c r="AC12" i="2" s="1"/>
  <c r="AC11" i="2" s="1"/>
  <c r="H66" i="2"/>
  <c r="H67" i="2" s="1"/>
  <c r="H77" i="2" s="1"/>
  <c r="M21" i="2"/>
  <c r="I9" i="2"/>
  <c r="K5" i="2"/>
  <c r="K16" i="2" s="1"/>
  <c r="I5" i="2"/>
  <c r="I16" i="2" s="1"/>
  <c r="G9" i="2"/>
  <c r="H8" i="2"/>
  <c r="H16" i="2"/>
  <c r="Y8" i="2"/>
  <c r="Y17" i="2" s="1"/>
  <c r="Y16" i="2"/>
  <c r="V8" i="2"/>
  <c r="V17" i="2" s="1"/>
  <c r="V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X8" i="2"/>
  <c r="X17" i="2" s="1"/>
  <c r="J8" i="2"/>
  <c r="J17" i="2" s="1"/>
  <c r="W8" i="2"/>
  <c r="W17" i="2" s="1"/>
  <c r="AL3" i="2" l="1"/>
  <c r="AK4" i="2"/>
  <c r="L64" i="2"/>
  <c r="AC18" i="2"/>
  <c r="AC13" i="2"/>
  <c r="I8" i="2"/>
  <c r="I10" i="2" s="1"/>
  <c r="K8" i="2"/>
  <c r="K17" i="2" s="1"/>
  <c r="F10" i="2"/>
  <c r="H10" i="2"/>
  <c r="H17" i="2"/>
  <c r="Y10" i="2"/>
  <c r="V10" i="2"/>
  <c r="J10" i="2"/>
  <c r="G8" i="2"/>
  <c r="G17" i="2" s="1"/>
  <c r="W10" i="2"/>
  <c r="W19" i="2" s="1"/>
  <c r="L10" i="2"/>
  <c r="X10" i="2"/>
  <c r="AM3" i="2" l="1"/>
  <c r="AL4" i="2"/>
  <c r="K10" i="2"/>
  <c r="K19" i="2" s="1"/>
  <c r="I17" i="2"/>
  <c r="AD5" i="2"/>
  <c r="F12" i="2"/>
  <c r="F18" i="2" s="1"/>
  <c r="F19" i="2"/>
  <c r="Y12" i="2"/>
  <c r="Y19" i="2"/>
  <c r="V12" i="2"/>
  <c r="V19" i="2"/>
  <c r="H12" i="2"/>
  <c r="H13" i="2" s="1"/>
  <c r="H19" i="2"/>
  <c r="X12" i="2"/>
  <c r="X18" i="2" s="1"/>
  <c r="X19" i="2"/>
  <c r="I12" i="2"/>
  <c r="I18" i="2" s="1"/>
  <c r="I19" i="2"/>
  <c r="L12" i="2"/>
  <c r="L18" i="2" s="1"/>
  <c r="L19" i="2"/>
  <c r="J12" i="2"/>
  <c r="J18" i="2" s="1"/>
  <c r="J19" i="2"/>
  <c r="W12" i="2"/>
  <c r="W18" i="2" s="1"/>
  <c r="G10" i="2"/>
  <c r="G19" i="2" s="1"/>
  <c r="C8" i="1"/>
  <c r="C11" i="1"/>
  <c r="AN3" i="2" l="1"/>
  <c r="AM4" i="2"/>
  <c r="AD7" i="2"/>
  <c r="AD16" i="2"/>
  <c r="K12" i="2"/>
  <c r="K18" i="2" s="1"/>
  <c r="AU18" i="2"/>
  <c r="Y18" i="2"/>
  <c r="Y81" i="2"/>
  <c r="F13" i="2"/>
  <c r="J13" i="2"/>
  <c r="H18" i="2"/>
  <c r="Y13" i="2"/>
  <c r="AE5" i="2"/>
  <c r="AE7" i="2" s="1"/>
  <c r="V18" i="2"/>
  <c r="V13" i="2"/>
  <c r="V80" i="2" s="1"/>
  <c r="I13" i="2"/>
  <c r="X13" i="2"/>
  <c r="X80" i="2" s="1"/>
  <c r="L13" i="2"/>
  <c r="G12" i="2"/>
  <c r="G18" i="2" s="1"/>
  <c r="W13" i="2"/>
  <c r="W80" i="2" s="1"/>
  <c r="C12" i="1"/>
  <c r="AO3" i="2" l="1"/>
  <c r="AN4" i="2"/>
  <c r="K13" i="2"/>
  <c r="L80" i="2" s="1"/>
  <c r="AE16" i="2"/>
  <c r="Y80" i="2"/>
  <c r="AF5" i="2"/>
  <c r="AF7" i="2" s="1"/>
  <c r="G13" i="2"/>
  <c r="AP3" i="2" l="1"/>
  <c r="AO4" i="2"/>
  <c r="AF16" i="2"/>
  <c r="AG5" i="2"/>
  <c r="AG7" i="2" s="1"/>
  <c r="AQ3" i="2" l="1"/>
  <c r="AP4" i="2"/>
  <c r="AG16" i="2"/>
  <c r="AH5" i="2"/>
  <c r="AH7" i="2" s="1"/>
  <c r="AD8" i="2"/>
  <c r="AD17" i="2" s="1"/>
  <c r="AR3" i="2" l="1"/>
  <c r="AR4" i="2" s="1"/>
  <c r="AQ4" i="2"/>
  <c r="AH16" i="2"/>
  <c r="AD10" i="2"/>
  <c r="AD11" i="2" s="1"/>
  <c r="AI5" i="2"/>
  <c r="AI7" i="2" s="1"/>
  <c r="AE8" i="2"/>
  <c r="AE17" i="2" s="1"/>
  <c r="AI16" i="2" l="1"/>
  <c r="AD12" i="2"/>
  <c r="AD13" i="2" s="1"/>
  <c r="AJ5" i="2"/>
  <c r="AJ7" i="2" s="1"/>
  <c r="AF8" i="2"/>
  <c r="AF17" i="2" s="1"/>
  <c r="AE10" i="2"/>
  <c r="AE11" i="2" s="1"/>
  <c r="AJ16" i="2" l="1"/>
  <c r="AD18" i="2"/>
  <c r="AK5" i="2"/>
  <c r="AK7" i="2" s="1"/>
  <c r="AF10" i="2"/>
  <c r="AF11" i="2" s="1"/>
  <c r="AE12" i="2"/>
  <c r="AG8" i="2"/>
  <c r="AG17" i="2" s="1"/>
  <c r="AK16" i="2" l="1"/>
  <c r="AL5" i="2"/>
  <c r="AL7" i="2" s="1"/>
  <c r="AE13" i="2"/>
  <c r="AE18" i="2"/>
  <c r="AG10" i="2"/>
  <c r="AG11" i="2" s="1"/>
  <c r="AH8" i="2"/>
  <c r="AH17" i="2" s="1"/>
  <c r="AF12" i="2"/>
  <c r="AL16" i="2" l="1"/>
  <c r="AM5" i="2"/>
  <c r="AM7" i="2" s="1"/>
  <c r="AF13" i="2"/>
  <c r="AF18" i="2"/>
  <c r="AH10" i="2"/>
  <c r="AH11" i="2" s="1"/>
  <c r="AI8" i="2"/>
  <c r="AI17" i="2" s="1"/>
  <c r="AG12" i="2"/>
  <c r="AM16" i="2" l="1"/>
  <c r="AN5" i="2"/>
  <c r="AN7" i="2" s="1"/>
  <c r="AG13" i="2"/>
  <c r="AG18" i="2"/>
  <c r="AJ8" i="2"/>
  <c r="AJ17" i="2" s="1"/>
  <c r="AI10" i="2"/>
  <c r="AI11" i="2" s="1"/>
  <c r="AH12" i="2"/>
  <c r="AN16" i="2" l="1"/>
  <c r="AO5" i="2"/>
  <c r="AO7" i="2" s="1"/>
  <c r="AJ10" i="2"/>
  <c r="AJ11" i="2" s="1"/>
  <c r="AH13" i="2"/>
  <c r="AH18" i="2"/>
  <c r="AI12" i="2"/>
  <c r="AK8" i="2"/>
  <c r="AK17" i="2" s="1"/>
  <c r="AO16" i="2" l="1"/>
  <c r="AP5" i="2"/>
  <c r="AP7" i="2" s="1"/>
  <c r="AK10" i="2"/>
  <c r="AK11" i="2" s="1"/>
  <c r="AL8" i="2"/>
  <c r="AL17" i="2" s="1"/>
  <c r="AI13" i="2"/>
  <c r="AI18" i="2"/>
  <c r="AJ12" i="2"/>
  <c r="AP16" i="2" l="1"/>
  <c r="AQ5" i="2"/>
  <c r="AQ7" i="2" s="1"/>
  <c r="AL10" i="2"/>
  <c r="AL11" i="2" s="1"/>
  <c r="AJ13" i="2"/>
  <c r="AJ18" i="2"/>
  <c r="AM8" i="2"/>
  <c r="AM17" i="2" s="1"/>
  <c r="AK12" i="2"/>
  <c r="AQ16" i="2" l="1"/>
  <c r="AR5" i="2"/>
  <c r="AR7" i="2" s="1"/>
  <c r="AM10" i="2"/>
  <c r="AM11" i="2" s="1"/>
  <c r="AN8" i="2"/>
  <c r="AN17" i="2" s="1"/>
  <c r="AK13" i="2"/>
  <c r="AK18" i="2"/>
  <c r="AL12" i="2"/>
  <c r="AR16" i="2" l="1"/>
  <c r="AL13" i="2"/>
  <c r="AL18" i="2"/>
  <c r="AN10" i="2"/>
  <c r="AN11" i="2" s="1"/>
  <c r="AO8" i="2"/>
  <c r="AO17" i="2" s="1"/>
  <c r="AM12" i="2"/>
  <c r="AM13" i="2" l="1"/>
  <c r="AM18" i="2"/>
  <c r="AO10" i="2"/>
  <c r="AO11" i="2" s="1"/>
  <c r="AP8" i="2"/>
  <c r="AP17" i="2" s="1"/>
  <c r="AN12" i="2"/>
  <c r="AP10" i="2" l="1"/>
  <c r="AP11" i="2" s="1"/>
  <c r="AR8" i="2"/>
  <c r="AR17" i="2" s="1"/>
  <c r="AQ8" i="2"/>
  <c r="AQ17" i="2" s="1"/>
  <c r="AN13" i="2"/>
  <c r="AN18" i="2"/>
  <c r="AO12" i="2"/>
  <c r="AO13" i="2" l="1"/>
  <c r="AO18" i="2"/>
  <c r="AQ10" i="2"/>
  <c r="AQ11" i="2" s="1"/>
  <c r="AR10" i="2"/>
  <c r="AR11" i="2" s="1"/>
  <c r="AP12" i="2"/>
  <c r="AP13" i="2" l="1"/>
  <c r="AP18" i="2"/>
  <c r="AR12" i="2"/>
  <c r="AQ12" i="2"/>
  <c r="AQ13" i="2" l="1"/>
  <c r="AQ18" i="2"/>
  <c r="AR13" i="2"/>
  <c r="AS12" i="2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AU17" i="2" s="1"/>
  <c r="AU19" i="2" s="1"/>
  <c r="AU20" i="2" s="1"/>
  <c r="AU23" i="2" s="1"/>
  <c r="AR18" i="2"/>
  <c r="AU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P4" authorId="0" shapeId="0" xr:uid="{FF6883B4-3C30-4584-980F-D498EF8038BA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BOWL now include Centre Staff Costs in COGS</t>
        </r>
      </text>
    </comment>
    <comment ref="AA4" authorId="0" shapeId="0" xr:uid="{3A373CEE-C2EA-4293-ACE0-4FDA99EC17ED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Now includes staffing costs</t>
        </r>
      </text>
    </comment>
    <comment ref="W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W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<sst xmlns="http://schemas.openxmlformats.org/spreadsheetml/2006/main" count="247" uniqueCount="172">
  <si>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</si>
  <si>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</si>
  <si>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</si>
  <si>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</si>
  <si>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</si>
  <si>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</si>
  <si>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</si>
  <si>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</si>
  <si>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</si>
  <si>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</si>
  <si>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</si>
  <si>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</si>
  <si>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</si>
  <si>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</si>
  <si>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</si>
  <si>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</si>
  <si>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</si>
  <si>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</si>
  <si>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</si>
  <si>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</si>
  <si>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</si>
  <si>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</si>
  <si>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</si>
  <si>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</si>
  <si>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</si>
  <si>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</si>
  <si>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</si>
  <si>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</si>
  <si>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</si>
  <si>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</si>
  <si>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</si>
  <si>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</si>
  <si>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</si>
  <si>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</si>
  <si>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</si>
  <si>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</si>
  <si>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</si>
  <si>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</si>
  <si>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</si>
  <si>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</si>
  <si>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</si>
  <si>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</si>
  <si>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</si>
  <si>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</si>
  <si>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</si>
  <si>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</si>
  <si>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</si>
  <si>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</si>
  <si>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</si>
  <si>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</si>
  <si>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</si>
  <si>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</si>
  <si>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</si>
  <si>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</si>
  <si>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</si>
  <si>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</si>
  <si>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</si>
  <si>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</si>
  <si>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</si>
  <si>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</si>
  <si>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</si>
  <si>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</si>
  <si>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</si>
  <si>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</si>
  <si>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</si>
  <si>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</si>
  <si>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</si>
  <si>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</si>
  <si>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</si>
  <si>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</si>
  <si>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</si>
  <si>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</si>
  <si>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</si>
  <si>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</si>
  <si>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</si>
  <si>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</si>
  <si>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</si>
  <si>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</si>
  <si>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</si>
  <si>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</si>
  <si>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</si>
  <si>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</si>
  <si>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</si>
  <si>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</si>
  <si>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</si>
  <si>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</si>
  <si>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</si>
  <si>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</si>
  <si>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</si>
  <si>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</si>
  <si>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</si>
  <si>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</si>
  <si>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</si>
  <si>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</si>
  <si>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</si>
  <si>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</si>
  <si>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</si>
  <si>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</si>
  <si>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</si>
  <si>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</si>
  <si>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</si>
  <si>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</si>
  <si>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</si>
  <si>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</si>
  <si>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</si>
  <si>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</si>
  <si>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</si>
  <si>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</si>
  <si>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</si>
  <si>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</si>
  <si>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</si>
  <si>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</si>
  <si>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</si>
  <si>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</si>
  <si>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</si>
  <si>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</si>
  <si>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</si>
  <si>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</si>
  <si>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</si>
  <si>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</si>
  <si>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</si>
  <si>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</si>
  <si>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</si>
  <si>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</si>
  <si>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</si>
  <si>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</si>
  <si>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</si>
  <si>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</si>
  <si>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</si>
  <si>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</si>
  <si>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</si>
  <si>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</si>
  <si>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</si>
  <si>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</si>
  <si>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</si>
  <si>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</si>
  <si>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</si>
  <si>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</si>
  <si>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</si>
  <si>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</si>
  <si>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</si>
  <si>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</si>
  <si>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</si>
  <si>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</si>
  <si>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</si>
  <si>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</si>
  <si>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</si>
  <si>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</si>
  <si>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</si>
  <si>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</si>
  <si>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</si>
  <si>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</si>
  <si>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</si>
  <si>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</si>
  <si>
    <t>H223</t>
  </si>
  <si>
    <t>H124</t>
  </si>
  <si>
    <t>FY39</t>
  </si>
  <si>
    <t>Market Cap</t>
  </si>
  <si>
    <t>H224</t>
  </si>
  <si>
    <t>Y/Y</t>
  </si>
  <si>
    <t>Cashflow</t>
  </si>
  <si>
    <t>CFFO</t>
  </si>
  <si>
    <t>FCF</t>
  </si>
  <si>
    <t>CapEx</t>
  </si>
  <si>
    <t>FCF per Share</t>
  </si>
  <si>
    <t>Price - FCF</t>
  </si>
  <si>
    <t>P/FCF</t>
  </si>
  <si>
    <t>Stockopedia</t>
  </si>
  <si>
    <t>Puttstars written down as impairment due to poor performance FY24</t>
  </si>
  <si>
    <t>BOWL announce buyback programme up to 17mil shares</t>
  </si>
  <si>
    <t>H125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</si>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</sst>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  <numFmt numFmtId="170" formatCode="0\x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3" fontId="0" fillId="4" borderId="8" xfId="0" applyNumberFormat="1" applyFill="1" applyBorder="1" applyAlignment="1">
      <alignment horizontal="right"/>
    </xf>
    <xf numFmtId="9" fontId="1" fillId="4" borderId="5" xfId="1" applyFont="1" applyFill="1" applyBorder="1" applyAlignment="1">
      <alignment horizontal="right"/>
    </xf>
    <xf numFmtId="16" fontId="2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Alignment="1"/>
    <xf numFmtId="9" fontId="2" fillId="5" borderId="0" xfId="0" applyNumberFormat="1" applyFont="1" applyFill="1"/>
    <xf numFmtId="9" fontId="6" fillId="6" borderId="0" xfId="0" applyNumberFormat="1" applyFont="1" applyFill="1"/>
    <xf numFmtId="170" fontId="2" fillId="0" borderId="0" xfId="0" applyNumberFormat="1" applyFont="1"/>
    <xf numFmtId="170" fontId="2" fillId="5" borderId="0" xfId="0" applyNumberFormat="1" applyFont="1" applyFill="1"/>
    <xf numFmtId="170" fontId="6" fillId="6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4" fillId="0" borderId="0" xfId="0" applyNumberFormat="1" applyFont="1"/>
    <xf numFmtId="0" fontId="15" fillId="6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6350</xdr:colOff>
      <xdr:row>0</xdr:row>
      <xdr:rowOff>19050</xdr:rowOff>
    </xdr:from>
    <xdr:to>
      <xdr:col>28</xdr:col>
      <xdr:colOff>6350</xdr:colOff>
      <xdr:row>110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998950" y="19050"/>
          <a:ext cx="0" cy="17697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9525</xdr:colOff>
      <xdr:row>111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11515725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llywoodbowlgroup.com/application/files/5517/0288/6885/FULL_RNS_-_17-12-23_for_LSE_load.pdf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hyperlink" Target="http://hollywoodbowlgroup.com/application/files/4317/4851/0577/Hollywood_Bowl_-_Final_Full_RNS_m.pdf" TargetMode="Externa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hyperlink" Target="https://www.hollywoodbowlgroup.com/application/files/7117/3443/2643/Hollywood_Bowl_Group_plc_RNS_FY2024_v3.pdf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9"/>
  <sheetViews>
    <sheetView tabSelected="1" workbookViewId="0">
      <selection activeCell="G36" sqref="G3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51" t="s">
        <v>151</v>
      </c>
      <c r="I2" s="151"/>
      <c r="J2" s="151"/>
      <c r="K2" s="151"/>
      <c r="L2" s="151"/>
    </row>
    <row r="3" spans="2:21" x14ac:dyDescent="0.2">
      <c r="B3" s="3" t="s">
        <v>1</v>
      </c>
    </row>
    <row r="5" spans="2:21" x14ac:dyDescent="0.2">
      <c r="B5" s="163" t="s">
        <v>2</v>
      </c>
      <c r="C5" s="164"/>
      <c r="D5" s="165"/>
      <c r="H5" s="163" t="s">
        <v>101</v>
      </c>
      <c r="I5" s="164"/>
      <c r="J5" s="164"/>
      <c r="K5" s="164"/>
      <c r="L5" s="165"/>
      <c r="O5" s="163" t="s">
        <v>68</v>
      </c>
      <c r="P5" s="164"/>
      <c r="Q5" s="164"/>
      <c r="R5" s="164"/>
      <c r="S5" s="164"/>
      <c r="T5" s="164"/>
      <c r="U5" s="165"/>
    </row>
    <row r="6" spans="2:21" x14ac:dyDescent="0.2">
      <c r="B6" s="4" t="s">
        <v>3</v>
      </c>
      <c r="C6" s="26">
        <v>2.6549999999999998</v>
      </c>
      <c r="D6" s="39"/>
      <c r="H6" s="170" t="s">
        <v>103</v>
      </c>
      <c r="I6" s="171"/>
      <c r="J6" s="171"/>
      <c r="K6" s="171"/>
      <c r="L6" s="58" t="s">
        <v>102</v>
      </c>
      <c r="O6" s="17"/>
      <c r="P6" s="6"/>
      <c r="Q6" s="6"/>
      <c r="R6" s="6"/>
      <c r="S6" s="6"/>
      <c r="T6" s="6"/>
      <c r="U6" s="7"/>
    </row>
    <row r="7" spans="2:21" x14ac:dyDescent="0.2">
      <c r="B7" s="4" t="s">
        <v>4</v>
      </c>
      <c r="C7" s="14">
        <f>+'Financial Model'!R14</f>
        <v>171.93956700000001</v>
      </c>
      <c r="D7" s="39" t="s">
        <v>170</v>
      </c>
      <c r="H7" s="172" t="s">
        <v>100</v>
      </c>
      <c r="I7" s="173"/>
      <c r="J7" s="173"/>
      <c r="K7" s="173"/>
      <c r="L7" s="59">
        <f>[1]Main!$C$25</f>
        <v>51</v>
      </c>
      <c r="O7" s="90">
        <v>45689</v>
      </c>
      <c r="P7" s="6" t="s">
        <v>169</v>
      </c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456.49955038500002</v>
      </c>
      <c r="D8" s="39"/>
      <c r="H8" s="174" t="s">
        <v>104</v>
      </c>
      <c r="I8" s="168"/>
      <c r="J8" s="168"/>
      <c r="K8" s="168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+'Financial Model'!R69</f>
        <v>22.738</v>
      </c>
      <c r="D9" s="39" t="s">
        <v>170</v>
      </c>
      <c r="H9" s="174" t="s">
        <v>105</v>
      </c>
      <c r="I9" s="168"/>
      <c r="J9" s="168"/>
      <c r="K9" s="168"/>
      <c r="L9" s="59">
        <v>6</v>
      </c>
      <c r="O9" s="90">
        <v>45627</v>
      </c>
      <c r="P9" s="6" t="s">
        <v>168</v>
      </c>
      <c r="R9" s="6"/>
      <c r="S9" s="6"/>
      <c r="T9" s="6"/>
      <c r="U9" s="7"/>
    </row>
    <row r="10" spans="2:21" x14ac:dyDescent="0.2">
      <c r="B10" s="4" t="s">
        <v>7</v>
      </c>
      <c r="C10" s="14">
        <f>+'Financial Model'!R70</f>
        <v>0</v>
      </c>
      <c r="D10" s="39" t="s">
        <v>170</v>
      </c>
      <c r="H10" s="174" t="s">
        <v>106</v>
      </c>
      <c r="I10" s="168"/>
      <c r="J10" s="168"/>
      <c r="K10" s="168"/>
      <c r="L10" s="59">
        <v>7</v>
      </c>
      <c r="O10" s="17"/>
      <c r="P10" s="6"/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22.738</v>
      </c>
      <c r="D11" s="39" t="s">
        <v>170</v>
      </c>
      <c r="H11" s="174" t="s">
        <v>107</v>
      </c>
      <c r="I11" s="168"/>
      <c r="J11" s="168"/>
      <c r="K11" s="168"/>
      <c r="L11" s="59">
        <v>6</v>
      </c>
      <c r="O11" s="90">
        <v>45200</v>
      </c>
      <c r="P11" s="152" t="s">
        <v>153</v>
      </c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433.76155038500002</v>
      </c>
      <c r="D12" s="40"/>
      <c r="H12" s="175" t="s">
        <v>108</v>
      </c>
      <c r="I12" s="166"/>
      <c r="J12" s="166"/>
      <c r="K12" s="166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90">
        <v>44866</v>
      </c>
      <c r="P13" s="91" t="s">
        <v>138</v>
      </c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3" t="s">
        <v>10</v>
      </c>
      <c r="C15" s="164"/>
      <c r="D15" s="165"/>
    </row>
    <row r="16" spans="2:21" x14ac:dyDescent="0.2">
      <c r="B16" s="16" t="s">
        <v>11</v>
      </c>
      <c r="C16" s="168" t="s">
        <v>94</v>
      </c>
      <c r="D16" s="169"/>
    </row>
    <row r="17" spans="2:16" x14ac:dyDescent="0.2">
      <c r="B17" s="16" t="s">
        <v>95</v>
      </c>
      <c r="C17" s="168" t="s">
        <v>96</v>
      </c>
      <c r="D17" s="169"/>
      <c r="H17" s="163" t="s">
        <v>125</v>
      </c>
      <c r="I17" s="164"/>
      <c r="J17" s="164"/>
      <c r="K17" s="164"/>
      <c r="L17" s="165"/>
    </row>
    <row r="18" spans="2:16" x14ac:dyDescent="0.2">
      <c r="B18" s="16"/>
      <c r="C18" s="168"/>
      <c r="D18" s="169"/>
      <c r="H18" s="81" t="s">
        <v>119</v>
      </c>
      <c r="I18" s="82"/>
      <c r="J18" s="82"/>
      <c r="K18" s="6"/>
      <c r="L18" s="7"/>
    </row>
    <row r="19" spans="2:16" x14ac:dyDescent="0.2">
      <c r="B19" s="50"/>
      <c r="C19" s="166"/>
      <c r="D19" s="167"/>
      <c r="H19" s="85" t="s">
        <v>120</v>
      </c>
      <c r="I19" s="82"/>
      <c r="J19" s="82"/>
      <c r="K19" s="6"/>
      <c r="L19" s="7"/>
    </row>
    <row r="20" spans="2:16" x14ac:dyDescent="0.2">
      <c r="H20" s="85"/>
      <c r="I20" s="82"/>
      <c r="J20" s="82"/>
      <c r="K20" s="6"/>
      <c r="L20" s="7"/>
      <c r="P20" s="88" t="s">
        <v>130</v>
      </c>
    </row>
    <row r="21" spans="2:16" x14ac:dyDescent="0.2">
      <c r="H21" s="81" t="s">
        <v>121</v>
      </c>
      <c r="I21" s="82"/>
      <c r="J21" s="82"/>
      <c r="K21" s="6"/>
      <c r="L21" s="7"/>
      <c r="P21" s="88" t="s">
        <v>129</v>
      </c>
    </row>
    <row r="22" spans="2:16" x14ac:dyDescent="0.2">
      <c r="B22" s="163" t="s">
        <v>26</v>
      </c>
      <c r="C22" s="164"/>
      <c r="D22" s="165"/>
      <c r="H22" s="85" t="s">
        <v>122</v>
      </c>
      <c r="I22" s="82"/>
      <c r="J22" s="82"/>
      <c r="K22" s="6"/>
      <c r="L22" s="7"/>
    </row>
    <row r="23" spans="2:16" x14ac:dyDescent="0.2">
      <c r="B23" s="17" t="s">
        <v>27</v>
      </c>
      <c r="C23" s="168" t="s">
        <v>29</v>
      </c>
      <c r="D23" s="169"/>
      <c r="H23" s="86" t="s">
        <v>128</v>
      </c>
      <c r="I23" s="82"/>
      <c r="J23" s="82"/>
      <c r="K23" s="6"/>
      <c r="L23" s="7"/>
    </row>
    <row r="24" spans="2:16" x14ac:dyDescent="0.2">
      <c r="B24" s="17" t="s">
        <v>28</v>
      </c>
      <c r="C24" s="168">
        <v>2010</v>
      </c>
      <c r="D24" s="169"/>
      <c r="H24" s="81"/>
      <c r="I24" s="82"/>
      <c r="J24" s="82"/>
      <c r="K24" s="6"/>
      <c r="L24" s="7"/>
    </row>
    <row r="25" spans="2:16" x14ac:dyDescent="0.2">
      <c r="B25" s="17" t="s">
        <v>32</v>
      </c>
      <c r="C25" s="168">
        <f>+'Financial Model'!AB25</f>
        <v>85</v>
      </c>
      <c r="D25" s="169"/>
      <c r="H25" s="81"/>
      <c r="I25" s="82"/>
      <c r="J25" s="82"/>
      <c r="K25" s="6"/>
      <c r="L25" s="7"/>
      <c r="O25" s="150" t="s">
        <v>150</v>
      </c>
    </row>
    <row r="26" spans="2:16" x14ac:dyDescent="0.2">
      <c r="B26" s="17" t="s">
        <v>114</v>
      </c>
      <c r="C26" s="180">
        <f>+'Financial Model'!AB33</f>
        <v>2826</v>
      </c>
      <c r="D26" s="169"/>
      <c r="H26" s="83"/>
      <c r="I26" s="84"/>
      <c r="J26" s="84"/>
      <c r="K26" s="8"/>
      <c r="L26" s="9"/>
    </row>
    <row r="27" spans="2:16" x14ac:dyDescent="0.2">
      <c r="B27" s="17" t="s">
        <v>118</v>
      </c>
      <c r="C27" s="168">
        <v>2016</v>
      </c>
      <c r="D27" s="169"/>
    </row>
    <row r="28" spans="2:16" x14ac:dyDescent="0.2">
      <c r="B28" s="17" t="s">
        <v>139</v>
      </c>
      <c r="C28" s="89" t="s">
        <v>170</v>
      </c>
      <c r="D28" s="96">
        <v>45806</v>
      </c>
      <c r="E28" s="155"/>
    </row>
    <row r="29" spans="2:16" x14ac:dyDescent="0.2">
      <c r="B29" s="18" t="s">
        <v>30</v>
      </c>
      <c r="C29" s="181" t="s">
        <v>31</v>
      </c>
      <c r="D29" s="182"/>
      <c r="H29" s="163" t="s">
        <v>126</v>
      </c>
      <c r="I29" s="164"/>
      <c r="J29" s="164"/>
      <c r="K29" s="164"/>
      <c r="L29" s="165"/>
    </row>
    <row r="30" spans="2:16" x14ac:dyDescent="0.2">
      <c r="H30" s="81" t="s">
        <v>119</v>
      </c>
      <c r="I30" s="82"/>
      <c r="J30" s="82"/>
      <c r="K30" s="6"/>
      <c r="L30" s="7"/>
    </row>
    <row r="31" spans="2:16" x14ac:dyDescent="0.2">
      <c r="H31" s="85" t="s">
        <v>123</v>
      </c>
      <c r="I31" s="82"/>
      <c r="J31" s="82"/>
      <c r="K31" s="6"/>
      <c r="L31" s="7"/>
    </row>
    <row r="32" spans="2:16" x14ac:dyDescent="0.2">
      <c r="B32" s="163" t="s">
        <v>133</v>
      </c>
      <c r="C32" s="164"/>
      <c r="D32" s="165"/>
      <c r="H32" s="85" t="s">
        <v>124</v>
      </c>
      <c r="I32" s="82"/>
      <c r="J32" s="82"/>
      <c r="K32" s="6"/>
      <c r="L32" s="7"/>
    </row>
    <row r="33" spans="2:12" x14ac:dyDescent="0.2">
      <c r="B33" s="17" t="s">
        <v>134</v>
      </c>
      <c r="C33" s="176">
        <f>+C6/'Financial Model'!R67</f>
        <v>3.0009370978313035</v>
      </c>
      <c r="D33" s="177"/>
      <c r="H33" s="85"/>
      <c r="I33" s="82"/>
      <c r="J33" s="82"/>
      <c r="K33" s="6"/>
      <c r="L33" s="7"/>
    </row>
    <row r="34" spans="2:12" x14ac:dyDescent="0.2">
      <c r="B34" s="17" t="s">
        <v>135</v>
      </c>
      <c r="C34" s="176">
        <f>+C8/SUM('Financial Model'!Q3:R3)</f>
        <v>1.8984348829331992</v>
      </c>
      <c r="D34" s="177"/>
      <c r="H34" s="81" t="s">
        <v>121</v>
      </c>
      <c r="I34" s="82"/>
      <c r="J34" s="82"/>
      <c r="K34" s="6"/>
      <c r="L34" s="7"/>
    </row>
    <row r="35" spans="2:12" x14ac:dyDescent="0.2">
      <c r="B35" s="17" t="s">
        <v>141</v>
      </c>
      <c r="C35" s="176">
        <f>+C12/SUM('Financial Model'!Q3:R3)</f>
        <v>1.8038748503291595</v>
      </c>
      <c r="D35" s="177"/>
      <c r="H35" s="85" t="s">
        <v>127</v>
      </c>
      <c r="I35" s="82"/>
      <c r="J35" s="82"/>
      <c r="K35" s="6"/>
      <c r="L35" s="7"/>
    </row>
    <row r="36" spans="2:12" x14ac:dyDescent="0.2">
      <c r="B36" s="17" t="s">
        <v>136</v>
      </c>
      <c r="C36" s="176">
        <f>+C6/SUM('Financial Model'!Q13:R13)</f>
        <v>15.956205176156606</v>
      </c>
      <c r="D36" s="177"/>
      <c r="H36" s="81"/>
      <c r="I36" s="82"/>
      <c r="J36" s="82"/>
      <c r="K36" s="6"/>
      <c r="L36" s="7"/>
    </row>
    <row r="37" spans="2:12" x14ac:dyDescent="0.2">
      <c r="B37" s="17" t="s">
        <v>142</v>
      </c>
      <c r="C37" s="176">
        <f>+C12/SUM('Financial Model'!Q12:R12)</f>
        <v>15.168609259511829</v>
      </c>
      <c r="D37" s="177"/>
      <c r="H37" s="81"/>
      <c r="I37" s="82"/>
      <c r="J37" s="82"/>
      <c r="K37" s="6"/>
      <c r="L37" s="7"/>
    </row>
    <row r="38" spans="2:12" x14ac:dyDescent="0.2">
      <c r="B38" s="17" t="s">
        <v>166</v>
      </c>
      <c r="C38" s="176">
        <f>+C6/SUM('Financial Model'!Q88:R88)</f>
        <v>0.17645885949754084</v>
      </c>
      <c r="D38" s="177"/>
      <c r="H38" s="83"/>
      <c r="I38" s="84"/>
      <c r="J38" s="84"/>
      <c r="K38" s="8"/>
      <c r="L38" s="9"/>
    </row>
    <row r="39" spans="2:12" x14ac:dyDescent="0.2">
      <c r="B39" s="17" t="s">
        <v>167</v>
      </c>
      <c r="C39" s="178">
        <v>61</v>
      </c>
      <c r="D39" s="179"/>
    </row>
  </sheetData>
  <mergeCells count="32">
    <mergeCell ref="H29:L29"/>
    <mergeCell ref="C29:D29"/>
    <mergeCell ref="C35:D35"/>
    <mergeCell ref="C37:D37"/>
    <mergeCell ref="C34:D34"/>
    <mergeCell ref="C36:D36"/>
    <mergeCell ref="C16:D16"/>
    <mergeCell ref="C17:D17"/>
    <mergeCell ref="C18:D18"/>
    <mergeCell ref="C38:D38"/>
    <mergeCell ref="C39:D39"/>
    <mergeCell ref="C26:D26"/>
    <mergeCell ref="C27:D27"/>
    <mergeCell ref="C25:D25"/>
    <mergeCell ref="B32:D32"/>
    <mergeCell ref="C33:D33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B5:D5"/>
    <mergeCell ref="B15:D15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3" r:id="rId3" xr:uid="{D95A0780-5F95-45A9-AA92-44BF55CFDC51}"/>
    <hyperlink ref="P11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X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41" sqref="O41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25"/>
    <col min="16" max="16" width="9.140625" style="1"/>
    <col min="17" max="17" width="9.140625" style="25"/>
    <col min="18" max="28" width="9.140625" style="1"/>
    <col min="29" max="29" width="9.140625" style="78"/>
    <col min="30" max="45" width="9.140625" style="1"/>
    <col min="46" max="46" width="15.7109375" style="1" bestFit="1" customWidth="1"/>
    <col min="47" max="16384" width="9.140625" style="1"/>
  </cols>
  <sheetData>
    <row r="1" spans="1:102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24" t="s">
        <v>154</v>
      </c>
      <c r="P1" s="10" t="s">
        <v>155</v>
      </c>
      <c r="Q1" s="24" t="s">
        <v>158</v>
      </c>
      <c r="R1" s="28" t="s">
        <v>170</v>
      </c>
      <c r="T1" s="10" t="s">
        <v>70</v>
      </c>
      <c r="U1" s="28" t="s">
        <v>69</v>
      </c>
      <c r="V1" s="10" t="s">
        <v>25</v>
      </c>
      <c r="W1" s="28" t="s">
        <v>20</v>
      </c>
      <c r="X1" s="10" t="s">
        <v>21</v>
      </c>
      <c r="Y1" s="28" t="s">
        <v>22</v>
      </c>
      <c r="Z1" s="28" t="s">
        <v>23</v>
      </c>
      <c r="AA1" s="28" t="s">
        <v>24</v>
      </c>
      <c r="AB1" s="28" t="s">
        <v>72</v>
      </c>
      <c r="AC1" s="129" t="s">
        <v>72</v>
      </c>
      <c r="AD1" s="10" t="s">
        <v>73</v>
      </c>
      <c r="AE1" s="10" t="s">
        <v>74</v>
      </c>
      <c r="AF1" s="10" t="s">
        <v>75</v>
      </c>
      <c r="AG1" s="10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  <c r="AM1" s="10" t="s">
        <v>82</v>
      </c>
      <c r="AN1" s="10" t="s">
        <v>83</v>
      </c>
      <c r="AO1" s="10" t="s">
        <v>84</v>
      </c>
      <c r="AP1" s="10" t="s">
        <v>85</v>
      </c>
      <c r="AQ1" s="10" t="s">
        <v>86</v>
      </c>
      <c r="AR1" s="10" t="s">
        <v>156</v>
      </c>
    </row>
    <row r="2" spans="1:102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35">
        <f>AA2</f>
        <v>45199</v>
      </c>
      <c r="P2" s="22">
        <v>45382</v>
      </c>
      <c r="Q2" s="35">
        <f>+AB2</f>
        <v>45565</v>
      </c>
      <c r="R2" s="22">
        <v>45747</v>
      </c>
      <c r="T2" s="22">
        <v>42643</v>
      </c>
      <c r="U2" s="22">
        <v>43008</v>
      </c>
      <c r="V2" s="22">
        <v>43373</v>
      </c>
      <c r="W2" s="22">
        <v>43738</v>
      </c>
      <c r="X2" s="22">
        <v>44104</v>
      </c>
      <c r="Y2" s="22">
        <v>44469</v>
      </c>
      <c r="Z2" s="22">
        <v>44834</v>
      </c>
      <c r="AA2" s="22">
        <v>45199</v>
      </c>
      <c r="AB2" s="22">
        <v>45565</v>
      </c>
      <c r="AC2" s="130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  <c r="AN2" s="21" t="s">
        <v>67</v>
      </c>
      <c r="AO2" s="21" t="s">
        <v>67</v>
      </c>
      <c r="AP2" s="21" t="s">
        <v>67</v>
      </c>
      <c r="AQ2" s="21" t="s">
        <v>67</v>
      </c>
      <c r="AR2" s="21" t="s">
        <v>67</v>
      </c>
    </row>
    <row r="3" spans="1:102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W3-F3</f>
        <v>62.904000000000011</v>
      </c>
      <c r="H3" s="36">
        <v>69.23</v>
      </c>
      <c r="I3" s="30">
        <f>X3-H3</f>
        <v>10.242999999999995</v>
      </c>
      <c r="J3" s="12">
        <v>10.433</v>
      </c>
      <c r="K3" s="30">
        <f>Y3-J3</f>
        <v>61.445</v>
      </c>
      <c r="L3" s="12">
        <v>100.173</v>
      </c>
      <c r="M3" s="30">
        <f>Z3-L3</f>
        <v>93.568000000000012</v>
      </c>
      <c r="N3" s="12">
        <v>110.05200000000001</v>
      </c>
      <c r="O3" s="30">
        <f>AA3-N3</f>
        <v>105.02999999999999</v>
      </c>
      <c r="P3" s="12">
        <v>119.187</v>
      </c>
      <c r="Q3" s="30">
        <f>+AB3-P3</f>
        <v>111.212</v>
      </c>
      <c r="R3" s="36">
        <v>129.249</v>
      </c>
      <c r="T3" s="12">
        <v>104.803</v>
      </c>
      <c r="U3" s="12">
        <v>113.968</v>
      </c>
      <c r="V3" s="12">
        <v>120.548</v>
      </c>
      <c r="W3" s="12">
        <v>129.89400000000001</v>
      </c>
      <c r="X3" s="12">
        <v>79.472999999999999</v>
      </c>
      <c r="Y3" s="12">
        <v>71.878</v>
      </c>
      <c r="Z3" s="12">
        <v>193.74100000000001</v>
      </c>
      <c r="AA3" s="12">
        <v>215.08199999999999</v>
      </c>
      <c r="AB3" s="12">
        <v>230.399</v>
      </c>
      <c r="AC3" s="131">
        <f>AA3*(1+AC21)</f>
        <v>238.74102000000002</v>
      </c>
      <c r="AD3" s="36">
        <f>AC3*(1+AD21)</f>
        <v>257.84030160000003</v>
      </c>
      <c r="AE3" s="36">
        <f t="shared" ref="AE3:AR3" si="1">AD3*(1+AE21)</f>
        <v>275.88912271200007</v>
      </c>
      <c r="AF3" s="36">
        <f t="shared" si="1"/>
        <v>292.44247007472012</v>
      </c>
      <c r="AG3" s="36">
        <f t="shared" si="1"/>
        <v>307.06459357845614</v>
      </c>
      <c r="AH3" s="36">
        <f t="shared" si="1"/>
        <v>322.41782325737898</v>
      </c>
      <c r="AI3" s="36">
        <f t="shared" si="1"/>
        <v>338.53871442024797</v>
      </c>
      <c r="AJ3" s="36">
        <f t="shared" si="1"/>
        <v>352.0802629970579</v>
      </c>
      <c r="AK3" s="36">
        <f t="shared" si="1"/>
        <v>366.16347351694026</v>
      </c>
      <c r="AL3" s="36">
        <f t="shared" si="1"/>
        <v>380.81001245761786</v>
      </c>
      <c r="AM3" s="36">
        <f t="shared" si="1"/>
        <v>388.42621270677023</v>
      </c>
      <c r="AN3" s="36">
        <f t="shared" si="1"/>
        <v>396.19473696090563</v>
      </c>
      <c r="AO3" s="36">
        <f t="shared" si="1"/>
        <v>404.11863170012373</v>
      </c>
      <c r="AP3" s="36">
        <f t="shared" si="1"/>
        <v>412.2010043341262</v>
      </c>
      <c r="AQ3" s="36">
        <f t="shared" si="1"/>
        <v>420.44502442080875</v>
      </c>
      <c r="AR3" s="36">
        <f t="shared" si="1"/>
        <v>428.85392490922493</v>
      </c>
    </row>
    <row r="4" spans="1:102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X4-H4</f>
        <v>1.5669999999999984</v>
      </c>
      <c r="J4" s="14">
        <v>1.1919999999999999</v>
      </c>
      <c r="K4" s="31">
        <f>Y4-J4</f>
        <v>9.0649999999999995</v>
      </c>
      <c r="L4" s="14">
        <v>13.641</v>
      </c>
      <c r="M4" s="31">
        <f>Z4-L4</f>
        <v>15.750999999999999</v>
      </c>
      <c r="N4" s="14">
        <v>18.972000000000001</v>
      </c>
      <c r="O4" s="31">
        <f>AA4-N4</f>
        <v>59.235999999999997</v>
      </c>
      <c r="P4" s="14">
        <f>19.825+22.269</f>
        <v>42.093999999999994</v>
      </c>
      <c r="Q4" s="31">
        <f>+AB4-P4</f>
        <v>42.807000000000002</v>
      </c>
      <c r="R4" s="1">
        <f>21.95+24.869</f>
        <v>46.819000000000003</v>
      </c>
      <c r="T4" s="14">
        <v>15.375999999999999</v>
      </c>
      <c r="U4" s="14">
        <v>15.349</v>
      </c>
      <c r="V4" s="14">
        <v>16.748000000000001</v>
      </c>
      <c r="W4" s="14">
        <v>18.542000000000002</v>
      </c>
      <c r="X4" s="14">
        <v>11.542999999999999</v>
      </c>
      <c r="Y4" s="14">
        <v>10.257</v>
      </c>
      <c r="Z4" s="14">
        <v>29.391999999999999</v>
      </c>
      <c r="AA4" s="14">
        <f>37.491+40.717</f>
        <v>78.207999999999998</v>
      </c>
      <c r="AB4" s="14">
        <f>39.178+45.723</f>
        <v>84.900999999999996</v>
      </c>
      <c r="AC4" s="132">
        <f>AC3*0.16</f>
        <v>38.198563200000002</v>
      </c>
      <c r="AD4" s="27">
        <f>AD3*0.38</f>
        <v>97.97931460800001</v>
      </c>
      <c r="AE4" s="27">
        <f t="shared" ref="AE4:AR4" si="2">AE3*0.38</f>
        <v>104.83786663056003</v>
      </c>
      <c r="AF4" s="27">
        <f t="shared" si="2"/>
        <v>111.12813862839364</v>
      </c>
      <c r="AG4" s="27">
        <f t="shared" si="2"/>
        <v>116.68454555981333</v>
      </c>
      <c r="AH4" s="27">
        <f t="shared" si="2"/>
        <v>122.51877283780402</v>
      </c>
      <c r="AI4" s="27">
        <f t="shared" si="2"/>
        <v>128.64471147969422</v>
      </c>
      <c r="AJ4" s="27">
        <f t="shared" si="2"/>
        <v>133.79049993888199</v>
      </c>
      <c r="AK4" s="27">
        <f t="shared" si="2"/>
        <v>139.1421199364373</v>
      </c>
      <c r="AL4" s="27">
        <f t="shared" si="2"/>
        <v>144.70780473389479</v>
      </c>
      <c r="AM4" s="27">
        <f t="shared" si="2"/>
        <v>147.60196082857269</v>
      </c>
      <c r="AN4" s="27">
        <f t="shared" si="2"/>
        <v>150.55400004514414</v>
      </c>
      <c r="AO4" s="27">
        <f t="shared" si="2"/>
        <v>153.56508004604703</v>
      </c>
      <c r="AP4" s="27">
        <f t="shared" si="2"/>
        <v>156.63638164696795</v>
      </c>
      <c r="AQ4" s="27">
        <f t="shared" si="2"/>
        <v>159.76910927990733</v>
      </c>
      <c r="AR4" s="27">
        <f t="shared" si="2"/>
        <v>162.96449146550549</v>
      </c>
    </row>
    <row r="5" spans="1:102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R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30">
        <f t="shared" si="3"/>
        <v>45.79399999999999</v>
      </c>
      <c r="P5" s="12">
        <f t="shared" si="3"/>
        <v>77.093000000000004</v>
      </c>
      <c r="Q5" s="30">
        <f t="shared" ref="Q5" si="4">Q3-Q4</f>
        <v>68.405000000000001</v>
      </c>
      <c r="R5" s="12">
        <f t="shared" si="3"/>
        <v>82.429999999999993</v>
      </c>
      <c r="T5" s="12">
        <f t="shared" ref="T5:AB5" si="5">T3-T4</f>
        <v>89.426999999999992</v>
      </c>
      <c r="U5" s="12">
        <f t="shared" si="5"/>
        <v>98.619</v>
      </c>
      <c r="V5" s="12">
        <f t="shared" si="5"/>
        <v>103.8</v>
      </c>
      <c r="W5" s="12">
        <f t="shared" si="5"/>
        <v>111.352</v>
      </c>
      <c r="X5" s="12">
        <f t="shared" si="5"/>
        <v>67.930000000000007</v>
      </c>
      <c r="Y5" s="12">
        <f t="shared" si="5"/>
        <v>61.621000000000002</v>
      </c>
      <c r="Z5" s="12">
        <f t="shared" si="5"/>
        <v>164.34900000000002</v>
      </c>
      <c r="AA5" s="12">
        <f t="shared" si="5"/>
        <v>136.874</v>
      </c>
      <c r="AB5" s="12">
        <f t="shared" si="5"/>
        <v>145.49799999999999</v>
      </c>
      <c r="AC5" s="131">
        <f>AC3-AC4</f>
        <v>200.54245680000002</v>
      </c>
      <c r="AD5" s="12">
        <f t="shared" ref="AD5:AR5" si="6">AD3-AD4</f>
        <v>159.86098699200002</v>
      </c>
      <c r="AE5" s="12">
        <f t="shared" si="6"/>
        <v>171.05125608144004</v>
      </c>
      <c r="AF5" s="12">
        <f t="shared" si="6"/>
        <v>181.31433144632649</v>
      </c>
      <c r="AG5" s="12">
        <f t="shared" si="6"/>
        <v>190.38004801864281</v>
      </c>
      <c r="AH5" s="12">
        <f t="shared" si="6"/>
        <v>199.89905041957496</v>
      </c>
      <c r="AI5" s="12">
        <f t="shared" si="6"/>
        <v>209.89400294055375</v>
      </c>
      <c r="AJ5" s="12">
        <f t="shared" si="6"/>
        <v>218.28976305817591</v>
      </c>
      <c r="AK5" s="12">
        <f t="shared" si="6"/>
        <v>227.02135358050296</v>
      </c>
      <c r="AL5" s="12">
        <f t="shared" si="6"/>
        <v>236.10220772372307</v>
      </c>
      <c r="AM5" s="12">
        <f t="shared" si="6"/>
        <v>240.82425187819754</v>
      </c>
      <c r="AN5" s="12">
        <f t="shared" si="6"/>
        <v>245.64073691576149</v>
      </c>
      <c r="AO5" s="12">
        <f t="shared" si="6"/>
        <v>250.5535516540767</v>
      </c>
      <c r="AP5" s="12">
        <f t="shared" si="6"/>
        <v>255.56462268715825</v>
      </c>
      <c r="AQ5" s="12">
        <f t="shared" si="6"/>
        <v>260.67591514090145</v>
      </c>
      <c r="AR5" s="12">
        <f t="shared" si="6"/>
        <v>265.88943344371944</v>
      </c>
    </row>
    <row r="6" spans="1:102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X6-H6</f>
        <v>0</v>
      </c>
      <c r="J6" s="14">
        <v>1.5940000000000001</v>
      </c>
      <c r="K6" s="31">
        <f>Y6-J6</f>
        <v>1.22</v>
      </c>
      <c r="L6" s="14">
        <v>0</v>
      </c>
      <c r="M6" s="31">
        <f>Z6-L6</f>
        <v>3.9E-2</v>
      </c>
      <c r="N6" s="14">
        <v>0</v>
      </c>
      <c r="O6" s="31">
        <f t="shared" ref="O6:O11" si="7">AA6-N6</f>
        <v>0</v>
      </c>
      <c r="P6" s="14">
        <v>0</v>
      </c>
      <c r="Q6" s="31">
        <f>+AB6-P6</f>
        <v>0.60699999999999998</v>
      </c>
      <c r="R6" s="1">
        <v>1.613</v>
      </c>
      <c r="T6" s="14">
        <v>1.395</v>
      </c>
      <c r="U6" s="14">
        <v>0.08</v>
      </c>
      <c r="V6" s="14">
        <v>0</v>
      </c>
      <c r="W6" s="14">
        <v>0</v>
      </c>
      <c r="X6" s="14">
        <v>0</v>
      </c>
      <c r="Y6" s="14">
        <v>2.8140000000000001</v>
      </c>
      <c r="Z6" s="14">
        <v>3.9E-2</v>
      </c>
      <c r="AA6" s="14">
        <v>0</v>
      </c>
      <c r="AB6" s="14">
        <v>0.60699999999999998</v>
      </c>
      <c r="AC6" s="132">
        <f>-AVERAGE(W6:AA6)</f>
        <v>-0.5706</v>
      </c>
      <c r="AD6" s="14">
        <f t="shared" ref="AD6:AJ6" si="8">AVERAGE(T6:AC6)</f>
        <v>0.43643999999999999</v>
      </c>
      <c r="AE6" s="14">
        <f t="shared" si="8"/>
        <v>0.34058400000000005</v>
      </c>
      <c r="AF6" s="14">
        <f t="shared" si="8"/>
        <v>0.36664240000000003</v>
      </c>
      <c r="AG6" s="14">
        <f t="shared" si="8"/>
        <v>0.40330664000000011</v>
      </c>
      <c r="AH6" s="14">
        <f t="shared" si="8"/>
        <v>0.44363730400000012</v>
      </c>
      <c r="AI6" s="14">
        <f t="shared" si="8"/>
        <v>0.48800103440000014</v>
      </c>
      <c r="AJ6" s="14">
        <f t="shared" si="8"/>
        <v>0.25540113784000007</v>
      </c>
      <c r="AK6" s="14">
        <f>AVERAGE(AC6:AJ6)</f>
        <v>0.27042656453000002</v>
      </c>
      <c r="AL6" s="14">
        <f t="shared" ref="AL6:AR6" si="9">AVERAGE(AD6:AK6)</f>
        <v>0.37555488509625012</v>
      </c>
      <c r="AM6" s="14">
        <f t="shared" si="9"/>
        <v>0.36794424573328138</v>
      </c>
      <c r="AN6" s="14">
        <f t="shared" si="9"/>
        <v>0.37136427644994152</v>
      </c>
      <c r="AO6" s="14">
        <f t="shared" si="9"/>
        <v>0.37195451100618415</v>
      </c>
      <c r="AP6" s="14">
        <f t="shared" si="9"/>
        <v>0.36803549488195719</v>
      </c>
      <c r="AQ6" s="14">
        <f t="shared" si="9"/>
        <v>0.35858526874220181</v>
      </c>
      <c r="AR6" s="14">
        <f t="shared" si="9"/>
        <v>0.34240829803497702</v>
      </c>
    </row>
    <row r="7" spans="1:102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X7-H7</f>
        <v>17.991</v>
      </c>
      <c r="J7" s="14">
        <v>20.856999999999999</v>
      </c>
      <c r="K7" s="31">
        <f>Y7-J7</f>
        <v>33.997999999999998</v>
      </c>
      <c r="L7" s="14">
        <v>48.915999999999997</v>
      </c>
      <c r="M7" s="31">
        <f>Z7-L7</f>
        <v>60.022999999999996</v>
      </c>
      <c r="N7" s="14">
        <v>58.933999999999997</v>
      </c>
      <c r="O7" s="31">
        <f t="shared" si="7"/>
        <v>23.855000000000004</v>
      </c>
      <c r="P7" s="14">
        <v>42.725000000000001</v>
      </c>
      <c r="Q7" s="31">
        <f>+AB7-P7</f>
        <v>49.874000000000002</v>
      </c>
      <c r="R7" s="1">
        <v>49.155000000000001</v>
      </c>
      <c r="T7" s="14">
        <v>76.444000000000003</v>
      </c>
      <c r="U7" s="14">
        <v>76.498000000000005</v>
      </c>
      <c r="V7" s="14">
        <v>78.908000000000001</v>
      </c>
      <c r="W7" s="14">
        <v>82.908000000000001</v>
      </c>
      <c r="X7" s="14">
        <v>58.069000000000003</v>
      </c>
      <c r="Y7" s="14">
        <v>54.854999999999997</v>
      </c>
      <c r="Z7" s="14">
        <v>108.93899999999999</v>
      </c>
      <c r="AA7" s="14">
        <v>82.789000000000001</v>
      </c>
      <c r="AB7" s="14">
        <v>92.599000000000004</v>
      </c>
      <c r="AC7" s="132">
        <f>AC5*0.62</f>
        <v>124.33632321600001</v>
      </c>
      <c r="AD7" s="27">
        <f>AD5*0.63</f>
        <v>100.71242180496002</v>
      </c>
      <c r="AE7" s="27">
        <f t="shared" ref="AE7:AR7" si="10">AE5*0.63</f>
        <v>107.76229133130722</v>
      </c>
      <c r="AF7" s="27">
        <f t="shared" si="10"/>
        <v>114.22802881118569</v>
      </c>
      <c r="AG7" s="27">
        <f t="shared" si="10"/>
        <v>119.93943025174497</v>
      </c>
      <c r="AH7" s="27">
        <f t="shared" si="10"/>
        <v>125.93640176433223</v>
      </c>
      <c r="AI7" s="27">
        <f t="shared" si="10"/>
        <v>132.23322185254887</v>
      </c>
      <c r="AJ7" s="27">
        <f t="shared" si="10"/>
        <v>137.52255072665082</v>
      </c>
      <c r="AK7" s="27">
        <f t="shared" si="10"/>
        <v>143.02345275571687</v>
      </c>
      <c r="AL7" s="27">
        <f t="shared" si="10"/>
        <v>148.74439086594555</v>
      </c>
      <c r="AM7" s="27">
        <f t="shared" si="10"/>
        <v>151.71927868326446</v>
      </c>
      <c r="AN7" s="27">
        <f t="shared" si="10"/>
        <v>154.75366425692974</v>
      </c>
      <c r="AO7" s="27">
        <f t="shared" si="10"/>
        <v>157.84873754206833</v>
      </c>
      <c r="AP7" s="27">
        <f t="shared" si="10"/>
        <v>161.00571229290969</v>
      </c>
      <c r="AQ7" s="27">
        <f t="shared" si="10"/>
        <v>164.2258265387679</v>
      </c>
      <c r="AR7" s="27">
        <f t="shared" si="10"/>
        <v>167.51034306954324</v>
      </c>
    </row>
    <row r="8" spans="1:102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R8" si="11">H5+H6-H7</f>
        <v>19.176000000000002</v>
      </c>
      <c r="I8" s="30">
        <f t="shared" si="11"/>
        <v>-9.3150000000000031</v>
      </c>
      <c r="J8" s="12">
        <f t="shared" si="11"/>
        <v>-10.022</v>
      </c>
      <c r="K8" s="30">
        <f t="shared" si="11"/>
        <v>19.602000000000004</v>
      </c>
      <c r="L8" s="12">
        <f t="shared" si="11"/>
        <v>37.616</v>
      </c>
      <c r="M8" s="30">
        <f t="shared" si="11"/>
        <v>17.833000000000013</v>
      </c>
      <c r="N8" s="12">
        <f t="shared" si="11"/>
        <v>32.146000000000015</v>
      </c>
      <c r="O8" s="30">
        <f t="shared" si="11"/>
        <v>21.938999999999986</v>
      </c>
      <c r="P8" s="12">
        <f t="shared" si="11"/>
        <v>34.368000000000002</v>
      </c>
      <c r="Q8" s="30">
        <f t="shared" ref="Q8" si="12">Q5+Q6-Q7</f>
        <v>19.137999999999998</v>
      </c>
      <c r="R8" s="12">
        <f t="shared" si="11"/>
        <v>34.887999999999991</v>
      </c>
      <c r="T8" s="12">
        <f t="shared" ref="T8:AC8" si="13">T5+T6-T7</f>
        <v>14.377999999999986</v>
      </c>
      <c r="U8" s="12">
        <f t="shared" si="13"/>
        <v>22.200999999999993</v>
      </c>
      <c r="V8" s="12">
        <f t="shared" si="13"/>
        <v>24.891999999999996</v>
      </c>
      <c r="W8" s="12">
        <f t="shared" si="13"/>
        <v>28.444000000000003</v>
      </c>
      <c r="X8" s="12">
        <f t="shared" si="13"/>
        <v>9.8610000000000042</v>
      </c>
      <c r="Y8" s="12">
        <f t="shared" si="13"/>
        <v>9.5800000000000054</v>
      </c>
      <c r="Z8" s="12">
        <f t="shared" si="13"/>
        <v>55.449000000000012</v>
      </c>
      <c r="AA8" s="12">
        <f t="shared" si="13"/>
        <v>54.084999999999994</v>
      </c>
      <c r="AB8" s="12">
        <f t="shared" si="13"/>
        <v>53.505999999999986</v>
      </c>
      <c r="AC8" s="41">
        <f t="shared" si="13"/>
        <v>75.635533584000001</v>
      </c>
      <c r="AD8" s="12">
        <f t="shared" ref="AD8:AR8" si="14">AD5+AD6-AD7</f>
        <v>59.585005187040011</v>
      </c>
      <c r="AE8" s="12">
        <f t="shared" si="14"/>
        <v>63.629548750132827</v>
      </c>
      <c r="AF8" s="12">
        <f t="shared" si="14"/>
        <v>67.452945035140786</v>
      </c>
      <c r="AG8" s="12">
        <f t="shared" si="14"/>
        <v>70.843924406897855</v>
      </c>
      <c r="AH8" s="12">
        <f t="shared" si="14"/>
        <v>74.406285959242723</v>
      </c>
      <c r="AI8" s="12">
        <f t="shared" si="14"/>
        <v>78.148782122404896</v>
      </c>
      <c r="AJ8" s="12">
        <f t="shared" si="14"/>
        <v>81.022613469365098</v>
      </c>
      <c r="AK8" s="12">
        <f t="shared" si="14"/>
        <v>84.268327389316084</v>
      </c>
      <c r="AL8" s="12">
        <f t="shared" si="14"/>
        <v>87.733371742873771</v>
      </c>
      <c r="AM8" s="12">
        <f t="shared" si="14"/>
        <v>89.47291744066635</v>
      </c>
      <c r="AN8" s="12">
        <f t="shared" si="14"/>
        <v>91.258436935281708</v>
      </c>
      <c r="AO8" s="12">
        <f t="shared" si="14"/>
        <v>93.076768623014544</v>
      </c>
      <c r="AP8" s="12">
        <f t="shared" si="14"/>
        <v>94.926945889130508</v>
      </c>
      <c r="AQ8" s="12">
        <f t="shared" si="14"/>
        <v>96.808673870875765</v>
      </c>
      <c r="AR8" s="12">
        <f t="shared" si="14"/>
        <v>98.721498672211169</v>
      </c>
    </row>
    <row r="9" spans="1:102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X9-H9</f>
        <v>3.9570000000000016</v>
      </c>
      <c r="J9" s="14">
        <v>4.4669999999999996</v>
      </c>
      <c r="K9" s="31">
        <f>Y9-J9</f>
        <v>4.6510000000000007</v>
      </c>
      <c r="L9" s="14">
        <v>4.1790000000000003</v>
      </c>
      <c r="M9" s="31">
        <f>Z9-L9</f>
        <v>4.6049999999999986</v>
      </c>
      <c r="N9" s="14">
        <v>4.4569999999999999</v>
      </c>
      <c r="O9" s="31">
        <f t="shared" si="7"/>
        <v>4.5480000000000009</v>
      </c>
      <c r="P9" s="14">
        <f>-1.029+5.869</f>
        <v>4.84</v>
      </c>
      <c r="Q9" s="31">
        <f>+AB9-P9</f>
        <v>5.9080000000000013</v>
      </c>
      <c r="R9" s="1">
        <f>-0.555+7.109</f>
        <v>6.5540000000000003</v>
      </c>
      <c r="T9" s="14">
        <f>-0.022+11.905-0.079</f>
        <v>11.803999999999998</v>
      </c>
      <c r="U9" s="14">
        <f>1.158-0.012+0.055</f>
        <v>1.2009999999999998</v>
      </c>
      <c r="V9" s="14">
        <f>0.976-0.018</f>
        <v>0.95799999999999996</v>
      </c>
      <c r="W9" s="14">
        <f>1.023-0.167</f>
        <v>0.85599999999999987</v>
      </c>
      <c r="X9" s="14">
        <f>8.743-0.078</f>
        <v>8.6650000000000009</v>
      </c>
      <c r="Y9" s="14">
        <v>9.1180000000000003</v>
      </c>
      <c r="Z9" s="14">
        <f>-0.012+8.796</f>
        <v>8.7839999999999989</v>
      </c>
      <c r="AA9" s="14">
        <f>10.445-1.44</f>
        <v>9.0050000000000008</v>
      </c>
      <c r="AB9" s="14">
        <f>-1.722+12.47</f>
        <v>10.748000000000001</v>
      </c>
      <c r="AC9" s="132">
        <f>AVERAGE(X9:AA9)</f>
        <v>8.8930000000000007</v>
      </c>
      <c r="AD9" s="1">
        <v>2.9</v>
      </c>
      <c r="AE9" s="1">
        <v>3.9</v>
      </c>
      <c r="AF9" s="1">
        <v>4.9000000000000004</v>
      </c>
      <c r="AG9" s="1">
        <v>5.9</v>
      </c>
      <c r="AH9" s="1">
        <v>6.9</v>
      </c>
      <c r="AI9" s="1">
        <v>7.9</v>
      </c>
      <c r="AJ9" s="1">
        <v>8.9</v>
      </c>
      <c r="AK9" s="1">
        <v>9.9</v>
      </c>
      <c r="AL9" s="1">
        <v>10.9</v>
      </c>
      <c r="AM9" s="1">
        <v>11.9</v>
      </c>
      <c r="AN9" s="1">
        <v>12.9</v>
      </c>
      <c r="AO9" s="1">
        <v>13.9</v>
      </c>
      <c r="AP9" s="1">
        <v>14.9</v>
      </c>
      <c r="AQ9" s="1">
        <v>15.9</v>
      </c>
      <c r="AR9" s="1">
        <v>16.899999999999999</v>
      </c>
    </row>
    <row r="10" spans="1:102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R10" si="15">H8-H9</f>
        <v>14.468000000000004</v>
      </c>
      <c r="I10" s="31">
        <f t="shared" si="15"/>
        <v>-13.272000000000006</v>
      </c>
      <c r="J10" s="14">
        <f t="shared" si="15"/>
        <v>-14.489000000000001</v>
      </c>
      <c r="K10" s="31">
        <f t="shared" si="15"/>
        <v>14.951000000000004</v>
      </c>
      <c r="L10" s="14">
        <f t="shared" si="15"/>
        <v>33.436999999999998</v>
      </c>
      <c r="M10" s="31">
        <f t="shared" si="15"/>
        <v>13.228000000000014</v>
      </c>
      <c r="N10" s="14">
        <f t="shared" si="15"/>
        <v>27.689000000000014</v>
      </c>
      <c r="O10" s="31">
        <f t="shared" si="15"/>
        <v>17.390999999999984</v>
      </c>
      <c r="P10" s="14">
        <f t="shared" si="15"/>
        <v>29.528000000000002</v>
      </c>
      <c r="Q10" s="31">
        <f t="shared" ref="Q10" si="16">Q8-Q9</f>
        <v>13.229999999999997</v>
      </c>
      <c r="R10" s="14">
        <f t="shared" si="15"/>
        <v>28.333999999999989</v>
      </c>
      <c r="T10" s="14">
        <f t="shared" ref="T10:AC10" si="17">T8-T9</f>
        <v>2.5739999999999874</v>
      </c>
      <c r="U10" s="14">
        <f t="shared" si="17"/>
        <v>20.999999999999993</v>
      </c>
      <c r="V10" s="14">
        <f t="shared" si="17"/>
        <v>23.933999999999997</v>
      </c>
      <c r="W10" s="14">
        <f t="shared" si="17"/>
        <v>27.588000000000001</v>
      </c>
      <c r="X10" s="14">
        <f t="shared" si="17"/>
        <v>1.1960000000000033</v>
      </c>
      <c r="Y10" s="14">
        <f t="shared" si="17"/>
        <v>0.46200000000000507</v>
      </c>
      <c r="Z10" s="14">
        <f t="shared" si="17"/>
        <v>46.665000000000013</v>
      </c>
      <c r="AA10" s="14">
        <f t="shared" si="17"/>
        <v>45.079999999999991</v>
      </c>
      <c r="AB10" s="14">
        <f t="shared" si="17"/>
        <v>42.757999999999981</v>
      </c>
      <c r="AC10" s="44">
        <f t="shared" si="17"/>
        <v>66.742533584</v>
      </c>
      <c r="AD10" s="14">
        <f t="shared" ref="AD10:AR10" si="18">AD8-AD9</f>
        <v>56.685005187040012</v>
      </c>
      <c r="AE10" s="14">
        <f t="shared" si="18"/>
        <v>59.729548750132828</v>
      </c>
      <c r="AF10" s="14">
        <f t="shared" si="18"/>
        <v>62.552945035140787</v>
      </c>
      <c r="AG10" s="14">
        <f t="shared" si="18"/>
        <v>64.94392440689785</v>
      </c>
      <c r="AH10" s="14">
        <f t="shared" si="18"/>
        <v>67.506285959242717</v>
      </c>
      <c r="AI10" s="14">
        <f t="shared" si="18"/>
        <v>70.24878212240489</v>
      </c>
      <c r="AJ10" s="14">
        <f t="shared" si="18"/>
        <v>72.122613469365092</v>
      </c>
      <c r="AK10" s="14">
        <f t="shared" si="18"/>
        <v>74.368327389316079</v>
      </c>
      <c r="AL10" s="14">
        <f t="shared" si="18"/>
        <v>76.833371742873766</v>
      </c>
      <c r="AM10" s="14">
        <f t="shared" si="18"/>
        <v>77.572917440666345</v>
      </c>
      <c r="AN10" s="14">
        <f t="shared" si="18"/>
        <v>78.358436935281702</v>
      </c>
      <c r="AO10" s="14">
        <f t="shared" si="18"/>
        <v>79.176768623014539</v>
      </c>
      <c r="AP10" s="14">
        <f t="shared" si="18"/>
        <v>80.026945889130502</v>
      </c>
      <c r="AQ10" s="14">
        <f t="shared" si="18"/>
        <v>80.908673870875759</v>
      </c>
      <c r="AR10" s="14">
        <f t="shared" si="18"/>
        <v>81.821498672211163</v>
      </c>
    </row>
    <row r="11" spans="1:102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X11-H11</f>
        <v>-3.137</v>
      </c>
      <c r="J11" s="14">
        <v>-2.8559999999999999</v>
      </c>
      <c r="K11" s="31">
        <f>Y11-J11</f>
        <v>1.5899999999999999</v>
      </c>
      <c r="L11" s="14">
        <v>6.4119999999999999</v>
      </c>
      <c r="M11" s="31">
        <f>Z11-L11</f>
        <v>2.8020000000000005</v>
      </c>
      <c r="N11" s="14">
        <v>5.7690000000000001</v>
      </c>
      <c r="O11" s="31">
        <f t="shared" si="7"/>
        <v>5.16</v>
      </c>
      <c r="P11" s="14">
        <v>7.5810000000000004</v>
      </c>
      <c r="Q11" s="31">
        <f>+AB11-P11</f>
        <v>5.2670000000000003</v>
      </c>
      <c r="R11" s="1">
        <v>7.7009999999999996</v>
      </c>
      <c r="T11" s="14">
        <v>1.387</v>
      </c>
      <c r="U11" s="14">
        <v>2.8479999999999999</v>
      </c>
      <c r="V11" s="14">
        <v>5.15</v>
      </c>
      <c r="W11" s="14">
        <v>5.3029999999999999</v>
      </c>
      <c r="X11" s="14">
        <v>-0.189</v>
      </c>
      <c r="Y11" s="14">
        <v>-1.266</v>
      </c>
      <c r="Z11" s="14">
        <v>9.2140000000000004</v>
      </c>
      <c r="AA11" s="14">
        <v>10.929</v>
      </c>
      <c r="AB11" s="14">
        <v>12.848000000000001</v>
      </c>
      <c r="AC11" s="132">
        <f>AC10-AC12</f>
        <v>13.348506716799996</v>
      </c>
      <c r="AD11" s="27">
        <f>AD10*(1-(1-AD19))</f>
        <v>11.337001037407999</v>
      </c>
      <c r="AE11" s="27">
        <f t="shared" ref="AE11:AR11" si="19">AE10*(1-(1-AE19))</f>
        <v>11.945909750026564</v>
      </c>
      <c r="AF11" s="27">
        <f t="shared" si="19"/>
        <v>12.510589007028155</v>
      </c>
      <c r="AG11" s="27">
        <f t="shared" si="19"/>
        <v>12.988784881379567</v>
      </c>
      <c r="AH11" s="27">
        <f t="shared" si="19"/>
        <v>13.501257191848541</v>
      </c>
      <c r="AI11" s="27">
        <f t="shared" si="19"/>
        <v>14.049756424480975</v>
      </c>
      <c r="AJ11" s="27">
        <f t="shared" si="19"/>
        <v>14.424522693873016</v>
      </c>
      <c r="AK11" s="27">
        <f t="shared" si="19"/>
        <v>14.873665477863213</v>
      </c>
      <c r="AL11" s="27">
        <f t="shared" si="19"/>
        <v>15.366674348574749</v>
      </c>
      <c r="AM11" s="27">
        <f t="shared" si="19"/>
        <v>15.514583488133265</v>
      </c>
      <c r="AN11" s="27">
        <f t="shared" si="19"/>
        <v>15.671687387056338</v>
      </c>
      <c r="AO11" s="27">
        <f t="shared" si="19"/>
        <v>15.835353724602903</v>
      </c>
      <c r="AP11" s="27">
        <f t="shared" si="19"/>
        <v>16.005389177826096</v>
      </c>
      <c r="AQ11" s="27">
        <f t="shared" si="19"/>
        <v>16.181734774175148</v>
      </c>
      <c r="AR11" s="27">
        <f t="shared" si="19"/>
        <v>16.364299734442231</v>
      </c>
    </row>
    <row r="12" spans="1:102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R12" si="20">H10-H11</f>
        <v>11.520000000000003</v>
      </c>
      <c r="I12" s="30">
        <f t="shared" si="20"/>
        <v>-10.135000000000005</v>
      </c>
      <c r="J12" s="12">
        <f t="shared" si="20"/>
        <v>-11.633000000000001</v>
      </c>
      <c r="K12" s="30">
        <f t="shared" si="20"/>
        <v>13.361000000000004</v>
      </c>
      <c r="L12" s="12">
        <f t="shared" si="20"/>
        <v>27.024999999999999</v>
      </c>
      <c r="M12" s="30">
        <f t="shared" si="20"/>
        <v>10.426000000000013</v>
      </c>
      <c r="N12" s="12">
        <f t="shared" si="20"/>
        <v>21.920000000000016</v>
      </c>
      <c r="O12" s="30">
        <f t="shared" si="20"/>
        <v>12.230999999999984</v>
      </c>
      <c r="P12" s="12">
        <f t="shared" si="20"/>
        <v>21.947000000000003</v>
      </c>
      <c r="Q12" s="30">
        <f t="shared" ref="Q12" si="21">Q10-Q11</f>
        <v>7.9629999999999965</v>
      </c>
      <c r="R12" s="12">
        <f t="shared" si="20"/>
        <v>20.632999999999988</v>
      </c>
      <c r="S12" s="87"/>
      <c r="T12" s="12">
        <f t="shared" ref="T12:AB12" si="22">T10-T11</f>
        <v>1.1869999999999874</v>
      </c>
      <c r="U12" s="12">
        <f t="shared" si="22"/>
        <v>18.151999999999994</v>
      </c>
      <c r="V12" s="12">
        <f t="shared" si="22"/>
        <v>18.783999999999999</v>
      </c>
      <c r="W12" s="12">
        <f t="shared" si="22"/>
        <v>22.285</v>
      </c>
      <c r="X12" s="12">
        <f t="shared" si="22"/>
        <v>1.3850000000000033</v>
      </c>
      <c r="Y12" s="12">
        <f t="shared" si="22"/>
        <v>1.7280000000000051</v>
      </c>
      <c r="Z12" s="12">
        <f t="shared" si="22"/>
        <v>37.451000000000015</v>
      </c>
      <c r="AA12" s="12">
        <f t="shared" si="22"/>
        <v>34.150999999999989</v>
      </c>
      <c r="AB12" s="12">
        <f t="shared" si="22"/>
        <v>29.909999999999982</v>
      </c>
      <c r="AC12" s="131">
        <f>AC10*(1-AC19)</f>
        <v>53.394026867200004</v>
      </c>
      <c r="AD12" s="12">
        <f t="shared" ref="AD12:AR12" si="23">AD10-AD11</f>
        <v>45.348004149632011</v>
      </c>
      <c r="AE12" s="12">
        <f t="shared" si="23"/>
        <v>47.783639000106263</v>
      </c>
      <c r="AF12" s="12">
        <f t="shared" si="23"/>
        <v>50.042356028112636</v>
      </c>
      <c r="AG12" s="12">
        <f t="shared" si="23"/>
        <v>51.955139525518284</v>
      </c>
      <c r="AH12" s="12">
        <f t="shared" si="23"/>
        <v>54.00502876739418</v>
      </c>
      <c r="AI12" s="12">
        <f t="shared" si="23"/>
        <v>56.199025697923915</v>
      </c>
      <c r="AJ12" s="12">
        <f t="shared" si="23"/>
        <v>57.698090775492076</v>
      </c>
      <c r="AK12" s="12">
        <f t="shared" si="23"/>
        <v>59.494661911452866</v>
      </c>
      <c r="AL12" s="12">
        <f t="shared" si="23"/>
        <v>61.466697394299018</v>
      </c>
      <c r="AM12" s="12">
        <f t="shared" si="23"/>
        <v>62.058333952533076</v>
      </c>
      <c r="AN12" s="12">
        <f t="shared" si="23"/>
        <v>62.686749548225364</v>
      </c>
      <c r="AO12" s="12">
        <f t="shared" si="23"/>
        <v>63.341414898411635</v>
      </c>
      <c r="AP12" s="12">
        <f t="shared" si="23"/>
        <v>64.021556711304413</v>
      </c>
      <c r="AQ12" s="12">
        <f t="shared" si="23"/>
        <v>64.726939096700619</v>
      </c>
      <c r="AR12" s="12">
        <f t="shared" si="23"/>
        <v>65.457198937768936</v>
      </c>
      <c r="AS12" s="12">
        <f t="shared" ref="AS12:BX12" si="24">AR12*(1+$AU$15)</f>
        <v>64.14805495901355</v>
      </c>
      <c r="AT12" s="12">
        <f t="shared" si="24"/>
        <v>62.86509385983328</v>
      </c>
      <c r="AU12" s="12">
        <f t="shared" si="24"/>
        <v>61.607791982636613</v>
      </c>
      <c r="AV12" s="12">
        <f t="shared" si="24"/>
        <v>60.375636142983879</v>
      </c>
      <c r="AW12" s="12">
        <f t="shared" si="24"/>
        <v>59.168123420124203</v>
      </c>
      <c r="AX12" s="12">
        <f t="shared" si="24"/>
        <v>57.984760951721718</v>
      </c>
      <c r="AY12" s="12">
        <f t="shared" si="24"/>
        <v>56.825065732687285</v>
      </c>
      <c r="AZ12" s="12">
        <f t="shared" si="24"/>
        <v>55.688564418033536</v>
      </c>
      <c r="BA12" s="12">
        <f t="shared" si="24"/>
        <v>54.574793129672862</v>
      </c>
      <c r="BB12" s="12">
        <f t="shared" si="24"/>
        <v>53.483297267079401</v>
      </c>
      <c r="BC12" s="12">
        <f t="shared" si="24"/>
        <v>52.41363132173781</v>
      </c>
      <c r="BD12" s="12">
        <f t="shared" si="24"/>
        <v>51.365358695303051</v>
      </c>
      <c r="BE12" s="12">
        <f t="shared" si="24"/>
        <v>50.338051521396991</v>
      </c>
      <c r="BF12" s="12">
        <f t="shared" si="24"/>
        <v>49.331290490969053</v>
      </c>
      <c r="BG12" s="12">
        <f t="shared" si="24"/>
        <v>48.344664681149673</v>
      </c>
      <c r="BH12" s="12">
        <f t="shared" si="24"/>
        <v>47.377771387526678</v>
      </c>
      <c r="BI12" s="12">
        <f t="shared" si="24"/>
        <v>46.430215959776142</v>
      </c>
      <c r="BJ12" s="12">
        <f t="shared" si="24"/>
        <v>45.50161164058062</v>
      </c>
      <c r="BK12" s="12">
        <f t="shared" si="24"/>
        <v>44.591579407769004</v>
      </c>
      <c r="BL12" s="12">
        <f t="shared" si="24"/>
        <v>43.69974781961362</v>
      </c>
      <c r="BM12" s="12">
        <f t="shared" si="24"/>
        <v>42.825752863221346</v>
      </c>
      <c r="BN12" s="12">
        <f t="shared" si="24"/>
        <v>41.969237805956922</v>
      </c>
      <c r="BO12" s="12">
        <f t="shared" si="24"/>
        <v>41.129853049837784</v>
      </c>
      <c r="BP12" s="12">
        <f t="shared" si="24"/>
        <v>40.307255988841028</v>
      </c>
      <c r="BQ12" s="12">
        <f t="shared" si="24"/>
        <v>39.501110869064206</v>
      </c>
      <c r="BR12" s="12">
        <f t="shared" si="24"/>
        <v>38.711088651682921</v>
      </c>
      <c r="BS12" s="12">
        <f t="shared" si="24"/>
        <v>37.936866878649262</v>
      </c>
      <c r="BT12" s="12">
        <f t="shared" si="24"/>
        <v>37.178129541076274</v>
      </c>
      <c r="BU12" s="12">
        <f t="shared" si="24"/>
        <v>36.434566950254748</v>
      </c>
      <c r="BV12" s="12">
        <f t="shared" si="24"/>
        <v>35.705875611249652</v>
      </c>
      <c r="BW12" s="12">
        <f t="shared" si="24"/>
        <v>34.991758099024658</v>
      </c>
      <c r="BX12" s="12">
        <f t="shared" si="24"/>
        <v>34.291922937044163</v>
      </c>
      <c r="BY12" s="12">
        <f t="shared" ref="BY12:CX12" si="25">BX12*(1+$AU$15)</f>
        <v>33.606084478303281</v>
      </c>
      <c r="BZ12" s="12">
        <f t="shared" si="25"/>
        <v>32.933962788737212</v>
      </c>
      <c r="CA12" s="12">
        <f t="shared" si="25"/>
        <v>32.275283532962469</v>
      </c>
      <c r="CB12" s="12">
        <f t="shared" si="25"/>
        <v>31.629777862303218</v>
      </c>
      <c r="CC12" s="12">
        <f t="shared" si="25"/>
        <v>30.997182305057152</v>
      </c>
      <c r="CD12" s="12">
        <f t="shared" si="25"/>
        <v>30.377238658956006</v>
      </c>
      <c r="CE12" s="12">
        <f t="shared" si="25"/>
        <v>29.769693885776885</v>
      </c>
      <c r="CF12" s="12">
        <f t="shared" si="25"/>
        <v>29.174300008061348</v>
      </c>
      <c r="CG12" s="12">
        <f t="shared" si="25"/>
        <v>28.590814007900121</v>
      </c>
      <c r="CH12" s="12">
        <f t="shared" si="25"/>
        <v>28.018997727742118</v>
      </c>
      <c r="CI12" s="12">
        <f t="shared" si="25"/>
        <v>27.458617773187274</v>
      </c>
      <c r="CJ12" s="12">
        <f t="shared" si="25"/>
        <v>26.909445417723528</v>
      </c>
      <c r="CK12" s="12">
        <f t="shared" si="25"/>
        <v>26.371256509369058</v>
      </c>
      <c r="CL12" s="12">
        <f t="shared" si="25"/>
        <v>25.843831379181676</v>
      </c>
      <c r="CM12" s="12">
        <f t="shared" si="25"/>
        <v>25.326954751598041</v>
      </c>
      <c r="CN12" s="12">
        <f t="shared" si="25"/>
        <v>24.82041565656608</v>
      </c>
      <c r="CO12" s="12">
        <f t="shared" si="25"/>
        <v>24.324007343434758</v>
      </c>
      <c r="CP12" s="12">
        <f t="shared" si="25"/>
        <v>23.837527196566061</v>
      </c>
      <c r="CQ12" s="12">
        <f t="shared" si="25"/>
        <v>23.36077665263474</v>
      </c>
      <c r="CR12" s="12">
        <f t="shared" si="25"/>
        <v>22.893561119582046</v>
      </c>
      <c r="CS12" s="12">
        <f t="shared" si="25"/>
        <v>22.435689897190404</v>
      </c>
      <c r="CT12" s="12">
        <f t="shared" si="25"/>
        <v>21.986976099246597</v>
      </c>
      <c r="CU12" s="12">
        <f t="shared" si="25"/>
        <v>21.547236577261664</v>
      </c>
      <c r="CV12" s="12">
        <f t="shared" si="25"/>
        <v>21.116291845716429</v>
      </c>
      <c r="CW12" s="12">
        <f t="shared" si="25"/>
        <v>20.6939660088021</v>
      </c>
      <c r="CX12" s="12">
        <f t="shared" si="25"/>
        <v>20.280086688626056</v>
      </c>
    </row>
    <row r="13" spans="1:102" x14ac:dyDescent="0.2">
      <c r="B13" s="1" t="s">
        <v>42</v>
      </c>
      <c r="E13" s="33"/>
      <c r="F13" s="26">
        <f t="shared" ref="F13:M13" si="26">F12/F14</f>
        <v>8.8853291768992385E-2</v>
      </c>
      <c r="G13" s="33">
        <f t="shared" si="26"/>
        <v>5.9400000000000057E-2</v>
      </c>
      <c r="H13" s="26">
        <f t="shared" si="26"/>
        <v>7.6442866571663867E-2</v>
      </c>
      <c r="I13" s="33">
        <f t="shared" si="26"/>
        <v>-6.6068394484364051E-2</v>
      </c>
      <c r="J13" s="26">
        <f t="shared" si="26"/>
        <v>-7.3358228129837819E-2</v>
      </c>
      <c r="K13" s="33">
        <f t="shared" si="26"/>
        <v>8.116869753753031E-2</v>
      </c>
      <c r="L13" s="26">
        <f t="shared" si="26"/>
        <v>0.15819934224664817</v>
      </c>
      <c r="M13" s="33">
        <f t="shared" si="26"/>
        <v>6.0988847885565384E-2</v>
      </c>
      <c r="N13" s="26">
        <f>N12/N14</f>
        <v>0.12802065599267592</v>
      </c>
      <c r="O13" s="33">
        <f>O12/O14</f>
        <v>7.1331079704337108E-2</v>
      </c>
      <c r="P13" s="26">
        <f>P12/P14</f>
        <v>0.12687408302518133</v>
      </c>
      <c r="Q13" s="33">
        <f>Q12/Q14</f>
        <v>4.6391481463693103E-2</v>
      </c>
      <c r="R13" s="26">
        <f>R12/R14</f>
        <v>0.12000146539859546</v>
      </c>
      <c r="S13" s="26"/>
      <c r="T13" s="26">
        <f t="shared" ref="T13:AR13" si="27">T12/T14</f>
        <v>1.1214705682000902E-2</v>
      </c>
      <c r="U13" s="26">
        <f t="shared" si="27"/>
        <v>0.12101333333333329</v>
      </c>
      <c r="V13" s="26">
        <f t="shared" si="27"/>
        <v>0.12522666666666665</v>
      </c>
      <c r="W13" s="26">
        <f t="shared" si="27"/>
        <v>0.14856666666666668</v>
      </c>
      <c r="X13" s="26">
        <f t="shared" si="27"/>
        <v>9.0285867154261852E-3</v>
      </c>
      <c r="Y13" s="26">
        <f t="shared" si="27"/>
        <v>1.0497680513797826E-2</v>
      </c>
      <c r="Z13" s="26">
        <f t="shared" si="27"/>
        <v>0.21907666815291649</v>
      </c>
      <c r="AA13" s="26">
        <f t="shared" si="27"/>
        <v>0.19916831845170624</v>
      </c>
      <c r="AB13" s="26">
        <f t="shared" si="27"/>
        <v>0.17425206713287211</v>
      </c>
      <c r="AC13" s="43">
        <f t="shared" si="27"/>
        <v>0.31139347446650034</v>
      </c>
      <c r="AD13" s="27">
        <f t="shared" si="27"/>
        <v>0.26446914385005438</v>
      </c>
      <c r="AE13" s="27">
        <f t="shared" si="27"/>
        <v>0.27867374393588873</v>
      </c>
      <c r="AF13" s="27">
        <f t="shared" si="27"/>
        <v>0.29184656090541422</v>
      </c>
      <c r="AG13" s="27">
        <f t="shared" si="27"/>
        <v>0.3030018967005727</v>
      </c>
      <c r="AH13" s="27">
        <f t="shared" si="27"/>
        <v>0.31495683193868185</v>
      </c>
      <c r="AI13" s="27">
        <f t="shared" si="27"/>
        <v>0.32775220189393389</v>
      </c>
      <c r="AJ13" s="27">
        <f t="shared" si="27"/>
        <v>0.33649473566304539</v>
      </c>
      <c r="AK13" s="27">
        <f t="shared" si="27"/>
        <v>0.34697232203323025</v>
      </c>
      <c r="AL13" s="27">
        <f t="shared" si="27"/>
        <v>0.35847321486347139</v>
      </c>
      <c r="AM13" s="27">
        <f t="shared" si="27"/>
        <v>0.36192363383913922</v>
      </c>
      <c r="AN13" s="27">
        <f t="shared" si="27"/>
        <v>0.36558854782358657</v>
      </c>
      <c r="AO13" s="27">
        <f t="shared" si="27"/>
        <v>0.36940655013523765</v>
      </c>
      <c r="AP13" s="27">
        <f t="shared" si="27"/>
        <v>0.37337313094348779</v>
      </c>
      <c r="AQ13" s="27">
        <f t="shared" si="27"/>
        <v>0.37748691453883831</v>
      </c>
      <c r="AR13" s="27">
        <f t="shared" si="27"/>
        <v>0.38174578322726288</v>
      </c>
    </row>
    <row r="14" spans="1:102" ht="12.75" customHeight="1" x14ac:dyDescent="0.2">
      <c r="B14" s="1" t="s">
        <v>4</v>
      </c>
      <c r="E14" s="32"/>
      <c r="F14" s="27">
        <v>150.529032</v>
      </c>
      <c r="G14" s="32">
        <f>W14</f>
        <v>150</v>
      </c>
      <c r="H14" s="27">
        <v>150.700785</v>
      </c>
      <c r="I14" s="32">
        <f>X14</f>
        <v>153.40163899999999</v>
      </c>
      <c r="J14" s="27">
        <v>158.57798500000001</v>
      </c>
      <c r="K14" s="32">
        <f>Y14</f>
        <v>164.60779099999999</v>
      </c>
      <c r="L14" s="27">
        <v>170.828776</v>
      </c>
      <c r="M14" s="32">
        <f>Z14</f>
        <v>170.949286</v>
      </c>
      <c r="N14" s="27">
        <v>171.22236899999999</v>
      </c>
      <c r="O14" s="32">
        <f>+AA14</f>
        <v>171.46803399999999</v>
      </c>
      <c r="P14" s="14">
        <v>172.98253099999999</v>
      </c>
      <c r="Q14" s="32">
        <f>+AB14</f>
        <v>171.64789200000001</v>
      </c>
      <c r="R14" s="27">
        <v>171.93956700000001</v>
      </c>
      <c r="T14" s="27">
        <v>105.84317</v>
      </c>
      <c r="U14" s="1">
        <v>150</v>
      </c>
      <c r="V14" s="1">
        <v>150</v>
      </c>
      <c r="W14" s="1">
        <v>150</v>
      </c>
      <c r="X14" s="27">
        <v>153.40163899999999</v>
      </c>
      <c r="Y14" s="27">
        <v>164.60779099999999</v>
      </c>
      <c r="Z14" s="27">
        <v>170.949286</v>
      </c>
      <c r="AA14" s="27">
        <v>171.46803399999999</v>
      </c>
      <c r="AB14" s="27">
        <v>171.64789200000001</v>
      </c>
      <c r="AC14" s="133">
        <f>+AA14</f>
        <v>171.46803399999999</v>
      </c>
      <c r="AD14" s="27">
        <f>AC14</f>
        <v>171.46803399999999</v>
      </c>
      <c r="AE14" s="27">
        <f t="shared" ref="AE14:AR14" si="28">AD14</f>
        <v>171.46803399999999</v>
      </c>
      <c r="AF14" s="27">
        <f t="shared" si="28"/>
        <v>171.46803399999999</v>
      </c>
      <c r="AG14" s="27">
        <f t="shared" si="28"/>
        <v>171.46803399999999</v>
      </c>
      <c r="AH14" s="27">
        <f t="shared" si="28"/>
        <v>171.46803399999999</v>
      </c>
      <c r="AI14" s="27">
        <f t="shared" si="28"/>
        <v>171.46803399999999</v>
      </c>
      <c r="AJ14" s="27">
        <f t="shared" si="28"/>
        <v>171.46803399999999</v>
      </c>
      <c r="AK14" s="27">
        <f t="shared" si="28"/>
        <v>171.46803399999999</v>
      </c>
      <c r="AL14" s="27">
        <f t="shared" si="28"/>
        <v>171.46803399999999</v>
      </c>
      <c r="AM14" s="27">
        <f t="shared" si="28"/>
        <v>171.46803399999999</v>
      </c>
      <c r="AN14" s="27">
        <f t="shared" si="28"/>
        <v>171.46803399999999</v>
      </c>
      <c r="AO14" s="27">
        <f t="shared" si="28"/>
        <v>171.46803399999999</v>
      </c>
      <c r="AP14" s="27">
        <f t="shared" si="28"/>
        <v>171.46803399999999</v>
      </c>
      <c r="AQ14" s="27">
        <f t="shared" si="28"/>
        <v>171.46803399999999</v>
      </c>
      <c r="AR14" s="27">
        <f t="shared" si="28"/>
        <v>171.46803399999999</v>
      </c>
    </row>
    <row r="15" spans="1:102" ht="12.75" customHeight="1" x14ac:dyDescent="0.25">
      <c r="AT15" s="45" t="s">
        <v>87</v>
      </c>
      <c r="AU15" s="62">
        <v>-0.02</v>
      </c>
    </row>
    <row r="16" spans="1:102" ht="12.75" customHeight="1" x14ac:dyDescent="0.25">
      <c r="B16" s="1" t="s">
        <v>43</v>
      </c>
      <c r="E16" s="34"/>
      <c r="F16" s="23">
        <f t="shared" ref="F16:L16" si="29">F5/F3</f>
        <v>0.85857590685176888</v>
      </c>
      <c r="G16" s="34">
        <f t="shared" si="29"/>
        <v>0.8558438255118912</v>
      </c>
      <c r="H16" s="23">
        <f t="shared" si="29"/>
        <v>0.85590062111801246</v>
      </c>
      <c r="I16" s="34">
        <f t="shared" si="29"/>
        <v>0.84701747534901894</v>
      </c>
      <c r="J16" s="23">
        <f t="shared" si="29"/>
        <v>0.88574714847119718</v>
      </c>
      <c r="K16" s="34">
        <f t="shared" si="29"/>
        <v>0.85246968833916514</v>
      </c>
      <c r="L16" s="23">
        <f t="shared" si="29"/>
        <v>0.86382558174358359</v>
      </c>
      <c r="M16" s="34">
        <f t="shared" ref="M16:N16" si="30">M5/M3</f>
        <v>0.83166253419972636</v>
      </c>
      <c r="N16" s="23">
        <f t="shared" si="30"/>
        <v>0.82760876676480211</v>
      </c>
      <c r="O16" s="34">
        <f t="shared" ref="O16:P16" si="31">O5/O3</f>
        <v>0.43600875940207556</v>
      </c>
      <c r="P16" s="23">
        <f t="shared" si="31"/>
        <v>0.64682389857954314</v>
      </c>
      <c r="Q16" s="34">
        <f t="shared" ref="Q16:R16" si="32">Q5/Q3</f>
        <v>0.61508650145667731</v>
      </c>
      <c r="R16" s="23">
        <f t="shared" si="32"/>
        <v>0.63776122058971441</v>
      </c>
      <c r="T16" s="23">
        <f t="shared" ref="T16:U16" si="33">T5/T3</f>
        <v>0.85328664255794195</v>
      </c>
      <c r="U16" s="23">
        <f t="shared" si="33"/>
        <v>0.86532184472834472</v>
      </c>
      <c r="V16" s="23">
        <f t="shared" ref="V16:W16" si="34">V5/V3</f>
        <v>0.8610677904237316</v>
      </c>
      <c r="W16" s="23">
        <f t="shared" si="34"/>
        <v>0.85725283692857257</v>
      </c>
      <c r="X16" s="23">
        <f>X5/X3</f>
        <v>0.85475570319479577</v>
      </c>
      <c r="Y16" s="23">
        <f>Y5/Y3</f>
        <v>0.85729986922284984</v>
      </c>
      <c r="Z16" s="23">
        <f t="shared" ref="Z16:AA16" si="35">Z5/Z3</f>
        <v>0.84829230777171583</v>
      </c>
      <c r="AA16" s="23">
        <f t="shared" si="35"/>
        <v>0.6363805432346733</v>
      </c>
      <c r="AB16" s="23">
        <f t="shared" ref="AB16" si="36">AB5/AB3</f>
        <v>0.63150447701595924</v>
      </c>
      <c r="AC16" s="134">
        <f>AC5/AC3</f>
        <v>0.84000000000000008</v>
      </c>
      <c r="AD16" s="23">
        <f t="shared" ref="AD16:AR16" si="37">AD5/AD3</f>
        <v>0.62</v>
      </c>
      <c r="AE16" s="23">
        <f t="shared" si="37"/>
        <v>0.62</v>
      </c>
      <c r="AF16" s="23">
        <f t="shared" si="37"/>
        <v>0.62000000000000011</v>
      </c>
      <c r="AG16" s="23">
        <f t="shared" si="37"/>
        <v>0.62</v>
      </c>
      <c r="AH16" s="23">
        <f t="shared" si="37"/>
        <v>0.62</v>
      </c>
      <c r="AI16" s="23">
        <f t="shared" si="37"/>
        <v>0.62</v>
      </c>
      <c r="AJ16" s="23">
        <f t="shared" si="37"/>
        <v>0.62</v>
      </c>
      <c r="AK16" s="23">
        <f t="shared" si="37"/>
        <v>0.62</v>
      </c>
      <c r="AL16" s="23">
        <f t="shared" si="37"/>
        <v>0.62</v>
      </c>
      <c r="AM16" s="23">
        <f t="shared" si="37"/>
        <v>0.62</v>
      </c>
      <c r="AN16" s="23">
        <f t="shared" si="37"/>
        <v>0.62</v>
      </c>
      <c r="AO16" s="23">
        <f t="shared" si="37"/>
        <v>0.62</v>
      </c>
      <c r="AP16" s="23">
        <f t="shared" si="37"/>
        <v>0.62</v>
      </c>
      <c r="AQ16" s="23">
        <f t="shared" si="37"/>
        <v>0.62000000000000011</v>
      </c>
      <c r="AR16" s="23">
        <f t="shared" si="37"/>
        <v>0.62</v>
      </c>
      <c r="AT16" s="46" t="s">
        <v>88</v>
      </c>
      <c r="AU16" s="63">
        <v>0.08</v>
      </c>
    </row>
    <row r="17" spans="1:48" ht="12.75" customHeight="1" x14ac:dyDescent="0.25">
      <c r="B17" s="1" t="s">
        <v>44</v>
      </c>
      <c r="E17" s="34"/>
      <c r="F17" s="23">
        <f t="shared" ref="F17:L17" si="38">F8/F3</f>
        <v>0.25023137781758459</v>
      </c>
      <c r="G17" s="34">
        <f t="shared" si="38"/>
        <v>0.18569566323286293</v>
      </c>
      <c r="H17" s="23">
        <f t="shared" si="38"/>
        <v>0.27698974433049256</v>
      </c>
      <c r="I17" s="34">
        <f t="shared" si="38"/>
        <v>-0.90940154251684147</v>
      </c>
      <c r="J17" s="23">
        <f t="shared" si="38"/>
        <v>-0.96060577015240112</v>
      </c>
      <c r="K17" s="34">
        <f t="shared" si="38"/>
        <v>0.31901700707950204</v>
      </c>
      <c r="L17" s="23">
        <f t="shared" si="38"/>
        <v>0.37551036706497759</v>
      </c>
      <c r="M17" s="34">
        <f t="shared" ref="M17:N17" si="39">M8/M3</f>
        <v>0.19058866279069778</v>
      </c>
      <c r="N17" s="23">
        <f t="shared" si="39"/>
        <v>0.29209828081270683</v>
      </c>
      <c r="O17" s="34">
        <f t="shared" ref="O17:P17" si="40">O8/O3</f>
        <v>0.20888317623536121</v>
      </c>
      <c r="P17" s="23">
        <f t="shared" si="40"/>
        <v>0.28835359561025953</v>
      </c>
      <c r="Q17" s="34">
        <f t="shared" ref="Q17:R17" si="41">Q8/Q3</f>
        <v>0.17208574614250258</v>
      </c>
      <c r="R17" s="23">
        <f t="shared" si="41"/>
        <v>0.26992858745522202</v>
      </c>
      <c r="T17" s="23">
        <f t="shared" ref="T17:U17" si="42">T8/T3</f>
        <v>0.13719072927301687</v>
      </c>
      <c r="U17" s="23">
        <f t="shared" si="42"/>
        <v>0.19480029481959843</v>
      </c>
      <c r="V17" s="23">
        <f t="shared" ref="V17:W17" si="43">V8/V3</f>
        <v>0.20649036068619966</v>
      </c>
      <c r="W17" s="23">
        <f t="shared" si="43"/>
        <v>0.2189785517421898</v>
      </c>
      <c r="X17" s="23">
        <f>X8/X3</f>
        <v>0.12407987618436456</v>
      </c>
      <c r="Y17" s="23">
        <f>Y8/Y3</f>
        <v>0.13328139347227252</v>
      </c>
      <c r="Z17" s="23">
        <f t="shared" ref="Z17:AR17" si="44">Z8/Z3</f>
        <v>0.28620168162650139</v>
      </c>
      <c r="AA17" s="23">
        <f t="shared" ref="AA17:AB17" si="45">AA8/AA3</f>
        <v>0.25146223300880594</v>
      </c>
      <c r="AB17" s="23">
        <f t="shared" si="45"/>
        <v>0.23223191072877913</v>
      </c>
      <c r="AC17" s="134">
        <f>AC8/AC3</f>
        <v>0.31680996246057758</v>
      </c>
      <c r="AD17" s="23">
        <f t="shared" si="44"/>
        <v>0.23109267564958513</v>
      </c>
      <c r="AE17" s="23">
        <f t="shared" si="44"/>
        <v>0.23063449593319249</v>
      </c>
      <c r="AF17" s="23">
        <f t="shared" si="44"/>
        <v>0.23065372487760177</v>
      </c>
      <c r="AG17" s="23">
        <f t="shared" si="44"/>
        <v>0.23071342606224957</v>
      </c>
      <c r="AH17" s="23">
        <f t="shared" si="44"/>
        <v>0.23077597016045182</v>
      </c>
      <c r="AI17" s="23">
        <f t="shared" si="44"/>
        <v>0.23084149254904485</v>
      </c>
      <c r="AJ17" s="23">
        <f t="shared" si="44"/>
        <v>0.23012540600732892</v>
      </c>
      <c r="AK17" s="23">
        <f t="shared" si="44"/>
        <v>0.23013854052653746</v>
      </c>
      <c r="AL17" s="23">
        <f t="shared" si="44"/>
        <v>0.2303862001334275</v>
      </c>
      <c r="AM17" s="23">
        <f t="shared" si="44"/>
        <v>0.2303472693492265</v>
      </c>
      <c r="AN17" s="23">
        <f t="shared" si="44"/>
        <v>0.23033732763665307</v>
      </c>
      <c r="AO17" s="23">
        <f t="shared" si="44"/>
        <v>0.23032040921113028</v>
      </c>
      <c r="AP17" s="23">
        <f t="shared" si="44"/>
        <v>0.23029285443512318</v>
      </c>
      <c r="AQ17" s="23">
        <f t="shared" si="44"/>
        <v>0.23025287076291653</v>
      </c>
      <c r="AR17" s="23">
        <f t="shared" si="44"/>
        <v>0.23019842640616486</v>
      </c>
      <c r="AT17" s="46" t="s">
        <v>89</v>
      </c>
      <c r="AU17" s="64">
        <f>NPV(AU16,AD12:CX12)</f>
        <v>678.09354143016867</v>
      </c>
    </row>
    <row r="18" spans="1:48" ht="12.75" customHeight="1" x14ac:dyDescent="0.25">
      <c r="A18" s="3"/>
      <c r="B18" s="1" t="s">
        <v>45</v>
      </c>
      <c r="E18" s="34"/>
      <c r="F18" s="23">
        <f t="shared" ref="F18:L18" si="46">F12/F3</f>
        <v>0.19965666517390643</v>
      </c>
      <c r="G18" s="34">
        <f t="shared" si="46"/>
        <v>0.14164441053033205</v>
      </c>
      <c r="H18" s="23">
        <f t="shared" si="46"/>
        <v>0.16640184890943235</v>
      </c>
      <c r="I18" s="34">
        <f t="shared" si="46"/>
        <v>-0.98945621399980577</v>
      </c>
      <c r="J18" s="23">
        <f t="shared" si="46"/>
        <v>-1.1150196491900701</v>
      </c>
      <c r="K18" s="34">
        <f t="shared" si="46"/>
        <v>0.21744649686711701</v>
      </c>
      <c r="L18" s="23">
        <f t="shared" si="46"/>
        <v>0.26978327493436355</v>
      </c>
      <c r="M18" s="34">
        <f t="shared" ref="M18:N18" si="47">M12/M3</f>
        <v>0.11142698358413144</v>
      </c>
      <c r="N18" s="23">
        <f t="shared" si="47"/>
        <v>0.1991785701304839</v>
      </c>
      <c r="O18" s="34">
        <f t="shared" ref="O18:P18" si="48">O12/O3</f>
        <v>0.1164524421593829</v>
      </c>
      <c r="P18" s="23">
        <f t="shared" si="48"/>
        <v>0.18413920981315079</v>
      </c>
      <c r="Q18" s="34">
        <f t="shared" ref="Q18:R18" si="49">Q12/Q3</f>
        <v>7.160198539725926E-2</v>
      </c>
      <c r="R18" s="23">
        <f t="shared" si="49"/>
        <v>0.15963759874351049</v>
      </c>
      <c r="T18" s="23">
        <f t="shared" ref="T18:U18" si="50">T12/T3</f>
        <v>1.1326011659971446E-2</v>
      </c>
      <c r="U18" s="23">
        <f t="shared" si="50"/>
        <v>0.15927277832373993</v>
      </c>
      <c r="V18" s="23">
        <f t="shared" ref="V18:W18" si="51">V12/V3</f>
        <v>0.15582174735375118</v>
      </c>
      <c r="W18" s="23">
        <f t="shared" si="51"/>
        <v>0.17156296672671562</v>
      </c>
      <c r="X18" s="23">
        <f>X12/X3</f>
        <v>1.7427302354258722E-2</v>
      </c>
      <c r="Y18" s="23">
        <f>Y12/Y3</f>
        <v>2.4040735691032097E-2</v>
      </c>
      <c r="Z18" s="23">
        <f t="shared" ref="Z18:AC18" si="52">Z12/Z3</f>
        <v>0.19330446317506367</v>
      </c>
      <c r="AA18" s="23">
        <f t="shared" ref="AA18:AB18" si="53">AA12/AA3</f>
        <v>0.15878130201504537</v>
      </c>
      <c r="AB18" s="23">
        <f t="shared" si="53"/>
        <v>0.12981827178069341</v>
      </c>
      <c r="AC18" s="42">
        <f t="shared" si="52"/>
        <v>0.22364831509557931</v>
      </c>
      <c r="AD18" s="23">
        <f t="shared" ref="AD18:AR18" si="54">AD12/AD3</f>
        <v>0.17587632293411809</v>
      </c>
      <c r="AE18" s="23">
        <f t="shared" si="54"/>
        <v>0.17319870580757718</v>
      </c>
      <c r="AF18" s="23">
        <f t="shared" si="54"/>
        <v>0.17111863408665173</v>
      </c>
      <c r="AG18" s="23">
        <f t="shared" si="54"/>
        <v>0.16919938218876268</v>
      </c>
      <c r="AH18" s="23">
        <f t="shared" si="54"/>
        <v>0.16750013452042684</v>
      </c>
      <c r="AI18" s="23">
        <f t="shared" si="54"/>
        <v>0.16600472354887236</v>
      </c>
      <c r="AJ18" s="23">
        <f t="shared" si="54"/>
        <v>0.1638776632474119</v>
      </c>
      <c r="AK18" s="23">
        <f t="shared" si="54"/>
        <v>0.16248114903438174</v>
      </c>
      <c r="AL18" s="23">
        <f t="shared" si="54"/>
        <v>0.16141040251965522</v>
      </c>
      <c r="AM18" s="23">
        <f t="shared" si="54"/>
        <v>0.15976865598249931</v>
      </c>
      <c r="AN18" s="23">
        <f t="shared" si="54"/>
        <v>0.15822206531332836</v>
      </c>
      <c r="AO18" s="23">
        <f t="shared" si="54"/>
        <v>0.1567396549669953</v>
      </c>
      <c r="AP18" s="23">
        <f t="shared" si="54"/>
        <v>0.15531635303685273</v>
      </c>
      <c r="AQ18" s="23">
        <f t="shared" si="54"/>
        <v>0.15394863855474641</v>
      </c>
      <c r="AR18" s="23">
        <f t="shared" si="54"/>
        <v>0.15263285500214133</v>
      </c>
      <c r="AT18" s="46" t="s">
        <v>8</v>
      </c>
      <c r="AU18" s="64">
        <f>Main!C11</f>
        <v>22.738</v>
      </c>
    </row>
    <row r="19" spans="1:48" ht="12.75" customHeight="1" x14ac:dyDescent="0.25">
      <c r="B19" s="1" t="s">
        <v>137</v>
      </c>
      <c r="E19" s="34"/>
      <c r="F19" s="23">
        <f t="shared" ref="F19:L19" si="55">F11/F10</f>
        <v>0.1837046078730547</v>
      </c>
      <c r="G19" s="34">
        <f t="shared" si="55"/>
        <v>0.20467731857538143</v>
      </c>
      <c r="H19" s="23">
        <f t="shared" si="55"/>
        <v>0.20376002211777711</v>
      </c>
      <c r="I19" s="34">
        <f t="shared" si="55"/>
        <v>0.23636226642555747</v>
      </c>
      <c r="J19" s="23">
        <f t="shared" si="55"/>
        <v>0.19711505279867483</v>
      </c>
      <c r="K19" s="34">
        <f t="shared" si="55"/>
        <v>0.10634740151160453</v>
      </c>
      <c r="L19" s="23">
        <f t="shared" si="55"/>
        <v>0.19176361515686216</v>
      </c>
      <c r="M19" s="34">
        <f t="shared" ref="M19:N19" si="56">M11/M10</f>
        <v>0.21182340489869955</v>
      </c>
      <c r="N19" s="23">
        <f t="shared" si="56"/>
        <v>0.20834988623641146</v>
      </c>
      <c r="O19" s="34">
        <f t="shared" ref="O19:P19" si="57">O11/O10</f>
        <v>0.29670519234086623</v>
      </c>
      <c r="P19" s="23">
        <f t="shared" si="57"/>
        <v>0.25673936602546737</v>
      </c>
      <c r="Q19" s="34">
        <f t="shared" ref="Q19:R19" si="58">Q11/Q10</f>
        <v>0.39811035525321253</v>
      </c>
      <c r="R19" s="23">
        <f t="shared" si="58"/>
        <v>0.2717936048563564</v>
      </c>
      <c r="T19" s="23">
        <f>T11/T10</f>
        <v>0.53885003885004146</v>
      </c>
      <c r="U19" s="23">
        <f t="shared" ref="U19:Y19" si="59">U11/U10</f>
        <v>0.13561904761904767</v>
      </c>
      <c r="V19" s="23">
        <f t="shared" si="59"/>
        <v>0.21517506476142731</v>
      </c>
      <c r="W19" s="23">
        <f t="shared" si="59"/>
        <v>0.1922212556183848</v>
      </c>
      <c r="X19" s="23">
        <f t="shared" si="59"/>
        <v>-0.15802675585284237</v>
      </c>
      <c r="Y19" s="23">
        <f t="shared" si="59"/>
        <v>-2.7402597402597104</v>
      </c>
      <c r="Z19" s="23">
        <f t="shared" ref="Z19:AA19" si="60">Z11/Z10</f>
        <v>0.19744990892531872</v>
      </c>
      <c r="AA19" s="23">
        <f t="shared" si="60"/>
        <v>0.24243566992014201</v>
      </c>
      <c r="AB19" s="23">
        <f t="shared" ref="AB19" si="61">AB11/AB10</f>
        <v>0.30048178118714641</v>
      </c>
      <c r="AC19" s="134">
        <v>0.2</v>
      </c>
      <c r="AD19" s="23">
        <f>AC19</f>
        <v>0.2</v>
      </c>
      <c r="AE19" s="23">
        <f t="shared" ref="AE19:AR19" si="62">AD19</f>
        <v>0.2</v>
      </c>
      <c r="AF19" s="23">
        <f t="shared" si="62"/>
        <v>0.2</v>
      </c>
      <c r="AG19" s="23">
        <f t="shared" si="62"/>
        <v>0.2</v>
      </c>
      <c r="AH19" s="23">
        <f t="shared" si="62"/>
        <v>0.2</v>
      </c>
      <c r="AI19" s="23">
        <f t="shared" si="62"/>
        <v>0.2</v>
      </c>
      <c r="AJ19" s="23">
        <f t="shared" si="62"/>
        <v>0.2</v>
      </c>
      <c r="AK19" s="23">
        <f t="shared" si="62"/>
        <v>0.2</v>
      </c>
      <c r="AL19" s="23">
        <f t="shared" si="62"/>
        <v>0.2</v>
      </c>
      <c r="AM19" s="23">
        <f t="shared" si="62"/>
        <v>0.2</v>
      </c>
      <c r="AN19" s="23">
        <f t="shared" si="62"/>
        <v>0.2</v>
      </c>
      <c r="AO19" s="23">
        <f t="shared" si="62"/>
        <v>0.2</v>
      </c>
      <c r="AP19" s="23">
        <f t="shared" si="62"/>
        <v>0.2</v>
      </c>
      <c r="AQ19" s="23">
        <f t="shared" si="62"/>
        <v>0.2</v>
      </c>
      <c r="AR19" s="23">
        <f t="shared" si="62"/>
        <v>0.2</v>
      </c>
      <c r="AT19" s="46" t="s">
        <v>90</v>
      </c>
      <c r="AU19" s="64">
        <f>AU17+AU18</f>
        <v>700.83154143016873</v>
      </c>
    </row>
    <row r="20" spans="1:48" ht="12.75" customHeight="1" x14ac:dyDescent="0.25">
      <c r="AT20" s="47" t="s">
        <v>91</v>
      </c>
      <c r="AU20" s="65">
        <f>AU19/Main!C7</f>
        <v>4.0760341186049907</v>
      </c>
    </row>
    <row r="21" spans="1:48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R21" si="63">H3/F3-1</f>
        <v>3.3437826541274918E-2</v>
      </c>
      <c r="I21" s="34">
        <f t="shared" si="63"/>
        <v>-0.8371645682309552</v>
      </c>
      <c r="J21" s="23">
        <f t="shared" si="63"/>
        <v>-0.84929943666040741</v>
      </c>
      <c r="K21" s="34">
        <f t="shared" si="63"/>
        <v>4.9987308405740531</v>
      </c>
      <c r="L21" s="23">
        <f t="shared" si="63"/>
        <v>8.6015527652640671</v>
      </c>
      <c r="M21" s="34">
        <f t="shared" si="63"/>
        <v>0.5227927414761171</v>
      </c>
      <c r="N21" s="23">
        <f t="shared" si="63"/>
        <v>9.8619388457967805E-2</v>
      </c>
      <c r="O21" s="34">
        <f t="shared" si="63"/>
        <v>0.12249914500683956</v>
      </c>
      <c r="P21" s="23">
        <f t="shared" si="63"/>
        <v>8.3006215243702997E-2</v>
      </c>
      <c r="Q21" s="34">
        <f t="shared" si="63"/>
        <v>5.8859373512329949E-2</v>
      </c>
      <c r="R21" s="23">
        <f t="shared" si="63"/>
        <v>8.4421958770671379E-2</v>
      </c>
      <c r="T21" s="38" t="s">
        <v>71</v>
      </c>
      <c r="U21" s="23">
        <f t="shared" ref="U21:X21" si="64">U3/T3-1</f>
        <v>8.744978674274595E-2</v>
      </c>
      <c r="V21" s="23">
        <f t="shared" si="64"/>
        <v>5.7735504703074536E-2</v>
      </c>
      <c r="W21" s="23">
        <f t="shared" si="64"/>
        <v>7.7529282941235067E-2</v>
      </c>
      <c r="X21" s="23">
        <f t="shared" si="64"/>
        <v>-0.38817035428888169</v>
      </c>
      <c r="Y21" s="23">
        <f>Y3/X3-1</f>
        <v>-9.5567047928227233E-2</v>
      </c>
      <c r="Z21" s="23">
        <f t="shared" ref="Z21" si="65">Z3/Y3-1</f>
        <v>1.6954144522663404</v>
      </c>
      <c r="AA21" s="23">
        <f t="shared" ref="AA21:AB21" si="66">AA3/Z3-1</f>
        <v>0.11015221352217641</v>
      </c>
      <c r="AB21" s="23">
        <f t="shared" si="66"/>
        <v>7.1214699509954293E-2</v>
      </c>
      <c r="AC21" s="134">
        <v>0.11</v>
      </c>
      <c r="AD21" s="23">
        <v>0.08</v>
      </c>
      <c r="AE21" s="23">
        <v>7.0000000000000007E-2</v>
      </c>
      <c r="AF21" s="23">
        <v>0.06</v>
      </c>
      <c r="AG21" s="23">
        <v>0.05</v>
      </c>
      <c r="AH21" s="23">
        <v>0.05</v>
      </c>
      <c r="AI21" s="23">
        <v>0.05</v>
      </c>
      <c r="AJ21" s="23">
        <v>0.04</v>
      </c>
      <c r="AK21" s="23">
        <v>0.04</v>
      </c>
      <c r="AL21" s="23">
        <v>0.04</v>
      </c>
      <c r="AM21" s="23">
        <v>0.02</v>
      </c>
      <c r="AN21" s="23">
        <v>0.02</v>
      </c>
      <c r="AO21" s="23">
        <v>0.02</v>
      </c>
      <c r="AP21" s="23">
        <v>0.02</v>
      </c>
      <c r="AQ21" s="23">
        <v>0.02</v>
      </c>
      <c r="AR21" s="23">
        <v>0.02</v>
      </c>
      <c r="AT21" s="46" t="s">
        <v>92</v>
      </c>
      <c r="AU21" s="66">
        <f>Main!C6</f>
        <v>2.6549999999999998</v>
      </c>
      <c r="AV21" s="49"/>
    </row>
    <row r="22" spans="1:48" ht="12.75" customHeight="1" x14ac:dyDescent="0.25">
      <c r="B22" s="1" t="s">
        <v>47</v>
      </c>
      <c r="E22" s="34"/>
      <c r="F22" s="38" t="s">
        <v>71</v>
      </c>
      <c r="G22" s="34">
        <f t="shared" ref="G22" si="67">G3/F3-1</f>
        <v>-6.0994178235557306E-2</v>
      </c>
      <c r="H22" s="23">
        <f t="shared" ref="H22:R22" si="68">H3/G3-1</f>
        <v>0.10056594175251155</v>
      </c>
      <c r="I22" s="34">
        <f t="shared" si="68"/>
        <v>-0.85204391159901782</v>
      </c>
      <c r="J22" s="23">
        <f t="shared" si="68"/>
        <v>1.8549253148492095E-2</v>
      </c>
      <c r="K22" s="34">
        <f t="shared" si="68"/>
        <v>4.8894852870698742</v>
      </c>
      <c r="L22" s="23">
        <f t="shared" si="68"/>
        <v>0.63028724875905273</v>
      </c>
      <c r="M22" s="34">
        <f t="shared" si="68"/>
        <v>-6.5935930839647328E-2</v>
      </c>
      <c r="N22" s="23">
        <f t="shared" si="68"/>
        <v>0.17617134062927486</v>
      </c>
      <c r="O22" s="34">
        <f t="shared" si="68"/>
        <v>-4.563297350343487E-2</v>
      </c>
      <c r="P22" s="23">
        <f t="shared" si="68"/>
        <v>0.1347900599828622</v>
      </c>
      <c r="Q22" s="34">
        <f t="shared" si="68"/>
        <v>-6.6911659828672532E-2</v>
      </c>
      <c r="R22" s="23">
        <f t="shared" si="68"/>
        <v>0.16218573535229996</v>
      </c>
      <c r="T22" s="38" t="s">
        <v>71</v>
      </c>
      <c r="U22" s="38" t="s">
        <v>71</v>
      </c>
      <c r="V22" s="38" t="s">
        <v>71</v>
      </c>
      <c r="W22" s="38" t="s">
        <v>71</v>
      </c>
      <c r="X22" s="38" t="s">
        <v>71</v>
      </c>
      <c r="Y22" s="38" t="s">
        <v>71</v>
      </c>
      <c r="Z22" s="38" t="s">
        <v>71</v>
      </c>
      <c r="AA22" s="38" t="s">
        <v>71</v>
      </c>
      <c r="AB22" s="38" t="s">
        <v>71</v>
      </c>
      <c r="AC22" s="135"/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N22" s="38" t="s">
        <v>71</v>
      </c>
      <c r="AO22" s="38" t="s">
        <v>71</v>
      </c>
      <c r="AP22" s="38" t="s">
        <v>71</v>
      </c>
      <c r="AQ22" s="38" t="s">
        <v>71</v>
      </c>
      <c r="AR22" s="38" t="s">
        <v>71</v>
      </c>
      <c r="AT22" s="46" t="s">
        <v>93</v>
      </c>
      <c r="AU22" s="154">
        <f>AU20/AU21-1</f>
        <v>0.53522942320338651</v>
      </c>
    </row>
    <row r="23" spans="1:48" ht="12.75" customHeight="1" x14ac:dyDescent="0.25">
      <c r="E23" s="34"/>
      <c r="F23" s="38"/>
      <c r="G23" s="34"/>
      <c r="H23" s="23"/>
      <c r="I23" s="34"/>
      <c r="J23" s="23"/>
      <c r="K23" s="34"/>
      <c r="L23" s="23"/>
      <c r="M23" s="34"/>
      <c r="V23" s="38"/>
      <c r="W23" s="38"/>
      <c r="X23" s="38"/>
      <c r="Y23" s="38"/>
      <c r="Z23" s="38"/>
      <c r="AA23" s="38"/>
      <c r="AB23" s="38"/>
      <c r="AC23" s="135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T23" s="48" t="s">
        <v>157</v>
      </c>
      <c r="AU23" s="153">
        <f>+AU20*Main!C7</f>
        <v>700.83154143016873</v>
      </c>
    </row>
    <row r="24" spans="1:48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V24" s="38"/>
      <c r="W24" s="38"/>
      <c r="X24" s="38"/>
      <c r="Y24" s="38"/>
      <c r="Z24" s="38"/>
      <c r="AA24" s="38"/>
      <c r="AB24" s="38"/>
      <c r="AC24" s="135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</row>
    <row r="25" spans="1:48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61">
        <f>+AA25</f>
        <v>71</v>
      </c>
      <c r="P25" s="3">
        <v>71</v>
      </c>
      <c r="Q25" s="61"/>
      <c r="R25" s="3">
        <v>75</v>
      </c>
      <c r="T25" s="3">
        <v>54</v>
      </c>
      <c r="U25" s="3">
        <v>58</v>
      </c>
      <c r="V25" s="10"/>
      <c r="W25" s="10">
        <f>SUM(W26:W28)</f>
        <v>60</v>
      </c>
      <c r="X25" s="10"/>
      <c r="Y25" s="10">
        <f>SUM(Y26:Y28)</f>
        <v>64</v>
      </c>
      <c r="Z25" s="10">
        <f>SUM(Z26:Z28)</f>
        <v>67</v>
      </c>
      <c r="AA25" s="10">
        <f>SUM(AA26:AA28)</f>
        <v>71</v>
      </c>
      <c r="AB25" s="10">
        <f>72+13</f>
        <v>85</v>
      </c>
      <c r="AC25" s="129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"/>
      <c r="AS25" s="1"/>
      <c r="AT25" s="1"/>
      <c r="AU25" s="1"/>
      <c r="AV25" s="1"/>
    </row>
    <row r="26" spans="1:48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O26" s="25">
        <f>+AA26</f>
        <v>62</v>
      </c>
      <c r="V26" s="38"/>
      <c r="W26" s="38">
        <v>54</v>
      </c>
      <c r="X26" s="38"/>
      <c r="Y26" s="38">
        <v>56</v>
      </c>
      <c r="Z26" s="38">
        <v>59</v>
      </c>
      <c r="AA26" s="38">
        <v>62</v>
      </c>
      <c r="AB26" s="38"/>
      <c r="AC26" s="135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</row>
    <row r="27" spans="1:48" ht="12.75" customHeight="1" x14ac:dyDescent="0.2">
      <c r="B27" s="51" t="s">
        <v>98</v>
      </c>
      <c r="O27" s="25">
        <f>+AA27</f>
        <v>3</v>
      </c>
      <c r="W27" s="1">
        <v>6</v>
      </c>
      <c r="Y27" s="1">
        <v>5</v>
      </c>
      <c r="Z27" s="1">
        <v>3</v>
      </c>
      <c r="AA27" s="1">
        <v>3</v>
      </c>
    </row>
    <row r="28" spans="1:48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25">
        <f>+AA28</f>
        <v>6</v>
      </c>
      <c r="P28" s="55"/>
      <c r="Q28" s="56"/>
      <c r="R28" s="55"/>
      <c r="S28" s="55"/>
      <c r="T28" s="55"/>
      <c r="U28" s="55"/>
      <c r="V28" s="52"/>
      <c r="W28" s="52">
        <v>0</v>
      </c>
      <c r="X28" s="52"/>
      <c r="Y28" s="52">
        <v>3</v>
      </c>
      <c r="Z28" s="52">
        <v>5</v>
      </c>
      <c r="AA28" s="52">
        <v>6</v>
      </c>
      <c r="AB28" s="52"/>
      <c r="AC28" s="136"/>
      <c r="AD28" s="55"/>
      <c r="AE28" s="55"/>
      <c r="AF28" s="55"/>
      <c r="AG28" s="55"/>
      <c r="AH28" s="55"/>
      <c r="AI28" s="55"/>
      <c r="AJ28" s="55"/>
    </row>
    <row r="29" spans="1:48" s="71" customFormat="1" ht="12.75" customHeight="1" x14ac:dyDescent="0.2">
      <c r="B29" s="72" t="s">
        <v>117</v>
      </c>
      <c r="C29" s="73"/>
      <c r="D29" s="73"/>
      <c r="E29" s="74"/>
      <c r="F29" s="73"/>
      <c r="G29" s="74"/>
      <c r="H29" s="73"/>
      <c r="I29" s="74"/>
      <c r="J29" s="73"/>
      <c r="K29" s="74"/>
      <c r="L29" s="73"/>
      <c r="M29" s="74"/>
      <c r="N29" s="73"/>
      <c r="O29" s="74" t="s">
        <v>109</v>
      </c>
      <c r="P29" s="73"/>
      <c r="Q29" s="74"/>
      <c r="R29" s="73"/>
      <c r="S29" s="73"/>
      <c r="T29" s="80">
        <f>T3/T25</f>
        <v>1.9407962962962964</v>
      </c>
      <c r="U29" s="80">
        <f t="shared" ref="U29:AA29" si="69">U3/U25</f>
        <v>1.9649655172413794</v>
      </c>
      <c r="V29" s="80"/>
      <c r="W29" s="80">
        <f t="shared" si="69"/>
        <v>2.1649000000000003</v>
      </c>
      <c r="X29" s="80"/>
      <c r="Y29" s="80">
        <f t="shared" si="69"/>
        <v>1.12309375</v>
      </c>
      <c r="Z29" s="80">
        <f t="shared" si="69"/>
        <v>2.8916567164179106</v>
      </c>
      <c r="AA29" s="80">
        <f t="shared" si="69"/>
        <v>3.0293239436619719</v>
      </c>
      <c r="AB29" s="80"/>
      <c r="AC29" s="137"/>
      <c r="AD29" s="73"/>
      <c r="AE29" s="73"/>
      <c r="AF29" s="73"/>
      <c r="AG29" s="73"/>
      <c r="AH29" s="73"/>
      <c r="AI29" s="73"/>
      <c r="AJ29" s="73"/>
    </row>
    <row r="30" spans="1:48" s="3" customFormat="1" ht="12.75" customHeight="1" x14ac:dyDescent="0.2">
      <c r="B30" s="67" t="s">
        <v>115</v>
      </c>
      <c r="C30" s="68"/>
      <c r="D30" s="68"/>
      <c r="E30" s="69"/>
      <c r="F30" s="68"/>
      <c r="G30" s="69"/>
      <c r="H30" s="68"/>
      <c r="I30" s="69"/>
      <c r="J30" s="68"/>
      <c r="K30" s="69"/>
      <c r="L30" s="68"/>
      <c r="M30" s="69"/>
      <c r="N30" s="68"/>
      <c r="O30" s="69"/>
      <c r="P30" s="68"/>
      <c r="Q30" s="69"/>
      <c r="R30" s="68"/>
      <c r="S30" s="68"/>
      <c r="T30" s="36">
        <v>12.1</v>
      </c>
      <c r="U30" s="36">
        <v>13.1</v>
      </c>
      <c r="V30" s="70"/>
      <c r="W30" s="70"/>
      <c r="X30" s="70"/>
      <c r="Y30" s="70"/>
      <c r="Z30" s="70"/>
      <c r="AA30" s="70"/>
      <c r="AB30" s="70"/>
      <c r="AC30" s="138"/>
      <c r="AD30" s="68"/>
      <c r="AE30" s="68"/>
      <c r="AF30" s="68"/>
      <c r="AG30" s="68"/>
      <c r="AH30" s="68"/>
      <c r="AI30" s="68"/>
      <c r="AJ30" s="68"/>
    </row>
    <row r="31" spans="1:48" s="75" customFormat="1" x14ac:dyDescent="0.2">
      <c r="B31" s="76" t="s">
        <v>116</v>
      </c>
      <c r="E31" s="77"/>
      <c r="G31" s="77"/>
      <c r="I31" s="77"/>
      <c r="K31" s="77"/>
      <c r="M31" s="77"/>
      <c r="O31" s="77"/>
      <c r="Q31" s="77"/>
      <c r="T31" s="79">
        <f>T3/T30</f>
        <v>8.6614049586776858</v>
      </c>
      <c r="U31" s="79">
        <f>U3/U30</f>
        <v>8.6998473282442745</v>
      </c>
      <c r="AC31" s="78"/>
    </row>
    <row r="32" spans="1:48" s="75" customFormat="1" x14ac:dyDescent="0.2">
      <c r="B32" s="76"/>
      <c r="E32" s="77"/>
      <c r="G32" s="77"/>
      <c r="I32" s="77"/>
      <c r="K32" s="77"/>
      <c r="M32" s="77"/>
      <c r="O32" s="77"/>
      <c r="Q32" s="77"/>
      <c r="T32" s="79"/>
      <c r="U32" s="79"/>
      <c r="AC32" s="78"/>
      <c r="AE32" s="75" t="s">
        <v>152</v>
      </c>
    </row>
    <row r="33" spans="1:29" s="140" customFormat="1" x14ac:dyDescent="0.2">
      <c r="B33" s="141" t="s">
        <v>145</v>
      </c>
      <c r="E33" s="142"/>
      <c r="G33" s="142"/>
      <c r="I33" s="142"/>
      <c r="K33" s="142"/>
      <c r="M33" s="142"/>
      <c r="O33" s="142"/>
      <c r="Q33" s="142"/>
      <c r="T33" s="140">
        <f t="shared" ref="T33:Y33" si="70">SUM(T34:T36)</f>
        <v>0</v>
      </c>
      <c r="U33" s="140">
        <f t="shared" si="70"/>
        <v>0</v>
      </c>
      <c r="V33" s="140">
        <f t="shared" si="70"/>
        <v>0</v>
      </c>
      <c r="W33" s="140">
        <f t="shared" si="70"/>
        <v>0</v>
      </c>
      <c r="X33" s="140">
        <f t="shared" si="70"/>
        <v>0</v>
      </c>
      <c r="Y33" s="140">
        <f t="shared" si="70"/>
        <v>1787</v>
      </c>
      <c r="Z33" s="140">
        <f>SUM(Z34:Z36)</f>
        <v>2530</v>
      </c>
      <c r="AA33" s="140">
        <f>SUM(AA34:AA36)</f>
        <v>2787</v>
      </c>
      <c r="AB33" s="140">
        <f>SUM(AB34:AB36)</f>
        <v>2826</v>
      </c>
      <c r="AC33" s="143"/>
    </row>
    <row r="34" spans="1:29" s="144" customFormat="1" x14ac:dyDescent="0.2">
      <c r="B34" s="145" t="s">
        <v>146</v>
      </c>
      <c r="E34" s="146"/>
      <c r="G34" s="146"/>
      <c r="I34" s="146"/>
      <c r="K34" s="146"/>
      <c r="M34" s="146"/>
      <c r="O34" s="146"/>
      <c r="Q34" s="146"/>
      <c r="Y34" s="144">
        <v>6</v>
      </c>
      <c r="Z34" s="144">
        <v>7</v>
      </c>
      <c r="AA34" s="144">
        <v>7</v>
      </c>
      <c r="AB34" s="144">
        <v>7</v>
      </c>
      <c r="AC34" s="147"/>
    </row>
    <row r="35" spans="1:29" s="144" customFormat="1" x14ac:dyDescent="0.2">
      <c r="B35" s="145" t="s">
        <v>147</v>
      </c>
      <c r="E35" s="146"/>
      <c r="G35" s="146"/>
      <c r="I35" s="146"/>
      <c r="K35" s="146"/>
      <c r="M35" s="146"/>
      <c r="O35" s="146"/>
      <c r="Q35" s="146"/>
      <c r="Y35" s="144">
        <v>58</v>
      </c>
      <c r="Z35" s="144">
        <v>91</v>
      </c>
      <c r="AA35" s="144">
        <v>112</v>
      </c>
      <c r="AB35" s="144">
        <v>118</v>
      </c>
      <c r="AC35" s="147"/>
    </row>
    <row r="36" spans="1:29" s="148" customFormat="1" x14ac:dyDescent="0.2">
      <c r="B36" s="145" t="s">
        <v>148</v>
      </c>
      <c r="E36" s="149"/>
      <c r="G36" s="149"/>
      <c r="I36" s="149"/>
      <c r="K36" s="149"/>
      <c r="M36" s="149"/>
      <c r="O36" s="149"/>
      <c r="Q36" s="149"/>
      <c r="Y36" s="148">
        <v>1723</v>
      </c>
      <c r="Z36" s="148">
        <v>2432</v>
      </c>
      <c r="AA36" s="148">
        <v>2668</v>
      </c>
      <c r="AB36" s="148">
        <v>2701</v>
      </c>
      <c r="AC36" s="147"/>
    </row>
    <row r="37" spans="1:29" s="156" customFormat="1" x14ac:dyDescent="0.2">
      <c r="B37" s="157" t="s">
        <v>159</v>
      </c>
      <c r="E37" s="158"/>
      <c r="G37" s="158"/>
      <c r="I37" s="158"/>
      <c r="K37" s="158"/>
      <c r="M37" s="158"/>
      <c r="O37" s="158"/>
      <c r="Q37" s="158"/>
      <c r="Z37" s="156">
        <f>+Z33/Y33-1</f>
        <v>0.41578063794068276</v>
      </c>
      <c r="AA37" s="156">
        <f>+AA33/Z33-1</f>
        <v>0.10158102766798427</v>
      </c>
      <c r="AB37" s="156">
        <f>+AB33/AA33-1</f>
        <v>1.3993541442411273E-2</v>
      </c>
      <c r="AC37" s="159"/>
    </row>
    <row r="39" spans="1:29" x14ac:dyDescent="0.2">
      <c r="B39" s="29" t="s">
        <v>48</v>
      </c>
    </row>
    <row r="40" spans="1:29" x14ac:dyDescent="0.2">
      <c r="B40" s="1" t="s">
        <v>49</v>
      </c>
      <c r="H40" s="14">
        <v>48.180999999999997</v>
      </c>
      <c r="L40" s="14">
        <v>55.976999999999997</v>
      </c>
      <c r="M40" s="31"/>
      <c r="N40" s="27">
        <v>74.733999999999995</v>
      </c>
      <c r="P40" s="14">
        <v>91.209000000000003</v>
      </c>
      <c r="R40" s="14">
        <v>114.261</v>
      </c>
      <c r="Y40" s="14">
        <v>49.036000000000001</v>
      </c>
      <c r="Z40" s="14">
        <v>68.641000000000005</v>
      </c>
      <c r="AA40" s="14">
        <v>78.278999999999996</v>
      </c>
      <c r="AB40" s="14">
        <v>101.93600000000001</v>
      </c>
      <c r="AC40" s="132"/>
    </row>
    <row r="41" spans="1:29" x14ac:dyDescent="0.2">
      <c r="B41" s="1" t="s">
        <v>50</v>
      </c>
      <c r="H41" s="14">
        <v>147.39099999999999</v>
      </c>
      <c r="L41" s="14">
        <v>133.077</v>
      </c>
      <c r="M41" s="31"/>
      <c r="N41" s="27">
        <v>150.56299999999999</v>
      </c>
      <c r="P41" s="14">
        <v>160.84</v>
      </c>
      <c r="R41" s="14">
        <v>184.92699999999999</v>
      </c>
      <c r="Y41" s="14">
        <v>132.34200000000001</v>
      </c>
      <c r="Z41" s="14">
        <v>147.45500000000001</v>
      </c>
      <c r="AA41" s="14">
        <v>150.81100000000001</v>
      </c>
      <c r="AB41" s="14">
        <v>172.767</v>
      </c>
      <c r="AC41" s="132"/>
    </row>
    <row r="42" spans="1:29" x14ac:dyDescent="0.2">
      <c r="B42" s="1" t="s">
        <v>51</v>
      </c>
      <c r="H42" s="14">
        <v>78.364000000000004</v>
      </c>
      <c r="L42" s="14">
        <v>77.807000000000002</v>
      </c>
      <c r="M42" s="31"/>
      <c r="N42" s="27">
        <v>88.628</v>
      </c>
      <c r="P42" s="14">
        <v>94.15</v>
      </c>
      <c r="R42" s="14">
        <v>99.596000000000004</v>
      </c>
      <c r="Y42" s="14">
        <v>77.947999999999993</v>
      </c>
      <c r="Z42" s="14">
        <v>81.793999999999997</v>
      </c>
      <c r="AA42" s="14">
        <v>89.376000000000005</v>
      </c>
      <c r="AB42" s="14">
        <v>100.32299999999999</v>
      </c>
      <c r="AC42" s="132"/>
    </row>
    <row r="43" spans="1:29" x14ac:dyDescent="0.2">
      <c r="B43" s="1" t="s">
        <v>52</v>
      </c>
      <c r="H43" s="14">
        <v>2.93</v>
      </c>
      <c r="L43" s="14">
        <v>4.13</v>
      </c>
      <c r="M43" s="31"/>
      <c r="N43" s="27">
        <v>0.29799999999999999</v>
      </c>
      <c r="P43" s="14">
        <v>0.13100000000000001</v>
      </c>
      <c r="R43" s="14">
        <v>0.57699999999999996</v>
      </c>
      <c r="Y43" s="14">
        <v>6.29</v>
      </c>
      <c r="Z43" s="14">
        <v>1.647</v>
      </c>
      <c r="AA43" s="14">
        <v>1.3089999999999999</v>
      </c>
      <c r="AB43" s="14">
        <v>0.51800000000000002</v>
      </c>
      <c r="AC43" s="132"/>
    </row>
    <row r="44" spans="1:29" x14ac:dyDescent="0.2">
      <c r="B44" s="1" t="s">
        <v>53</v>
      </c>
      <c r="H44" s="14">
        <f>SUM(H40:H43)</f>
        <v>276.86600000000004</v>
      </c>
      <c r="L44" s="14">
        <f>SUM(L40:L43)</f>
        <v>270.99099999999999</v>
      </c>
      <c r="M44" s="31"/>
      <c r="N44" s="27">
        <f>SUM(N40:N43)</f>
        <v>314.22299999999996</v>
      </c>
      <c r="P44" s="14">
        <f>SUM(P40:P43)</f>
        <v>346.33</v>
      </c>
      <c r="R44" s="14">
        <f>SUM(R40:R43)</f>
        <v>399.36099999999999</v>
      </c>
      <c r="Y44" s="14">
        <f>SUM(Y40:Y43)</f>
        <v>265.61600000000004</v>
      </c>
      <c r="Z44" s="14">
        <f>SUM(Z40:Z43)</f>
        <v>299.53699999999998</v>
      </c>
      <c r="AA44" s="14">
        <f>SUM(AA40:AA43)</f>
        <v>319.77500000000003</v>
      </c>
      <c r="AB44" s="14">
        <f>SUM(AB40:AB43)</f>
        <v>375.54399999999993</v>
      </c>
      <c r="AC44" s="132"/>
    </row>
    <row r="45" spans="1:29" s="3" customFormat="1" x14ac:dyDescent="0.2">
      <c r="B45" s="3" t="s">
        <v>6</v>
      </c>
      <c r="E45" s="61"/>
      <c r="G45" s="61"/>
      <c r="H45" s="12">
        <v>15.635999999999999</v>
      </c>
      <c r="I45" s="61"/>
      <c r="K45" s="61"/>
      <c r="L45" s="12">
        <v>49.576999999999998</v>
      </c>
      <c r="M45" s="30"/>
      <c r="N45" s="36">
        <v>44.149000000000001</v>
      </c>
      <c r="O45" s="61"/>
      <c r="P45" s="12">
        <v>41.404000000000003</v>
      </c>
      <c r="Q45" s="61"/>
      <c r="R45" s="12">
        <v>22.738</v>
      </c>
      <c r="Y45" s="12">
        <v>29.942</v>
      </c>
      <c r="Z45" s="12">
        <v>56.066000000000003</v>
      </c>
      <c r="AA45" s="12">
        <v>52.454999999999998</v>
      </c>
      <c r="AB45" s="12">
        <v>28.702000000000002</v>
      </c>
      <c r="AC45" s="131"/>
    </row>
    <row r="46" spans="1:29" x14ac:dyDescent="0.2">
      <c r="A46" s="13"/>
      <c r="B46" s="1" t="s">
        <v>54</v>
      </c>
      <c r="H46" s="14">
        <v>2.9940000000000002</v>
      </c>
      <c r="L46" s="14">
        <v>10.474</v>
      </c>
      <c r="M46" s="31"/>
      <c r="N46" s="27">
        <v>5.8979999999999997</v>
      </c>
      <c r="P46" s="14">
        <v>9.2129999999999992</v>
      </c>
      <c r="R46" s="14">
        <v>7.5439999999999996</v>
      </c>
      <c r="Y46" s="14">
        <v>3.3</v>
      </c>
      <c r="Z46" s="14">
        <v>5.13</v>
      </c>
      <c r="AA46" s="14">
        <v>8.1159999999999997</v>
      </c>
      <c r="AB46" s="14">
        <v>9.42</v>
      </c>
      <c r="AC46" s="132"/>
    </row>
    <row r="47" spans="1:29" x14ac:dyDescent="0.2">
      <c r="A47" s="13"/>
      <c r="B47" s="1" t="s">
        <v>55</v>
      </c>
      <c r="H47" s="14">
        <v>1.3120000000000001</v>
      </c>
      <c r="L47" s="14">
        <v>0</v>
      </c>
      <c r="M47" s="31"/>
      <c r="N47" s="27">
        <v>0</v>
      </c>
      <c r="P47" s="14">
        <v>0</v>
      </c>
      <c r="R47" s="14">
        <v>0</v>
      </c>
      <c r="Y47" s="14">
        <v>0.65</v>
      </c>
      <c r="Z47" s="14">
        <v>0.27100000000000002</v>
      </c>
      <c r="AA47" s="14">
        <v>0.71499999999999997</v>
      </c>
      <c r="AB47" s="14">
        <v>1.268</v>
      </c>
      <c r="AC47" s="132"/>
    </row>
    <row r="48" spans="1:29" x14ac:dyDescent="0.2">
      <c r="A48" s="13"/>
      <c r="B48" s="1" t="s">
        <v>56</v>
      </c>
      <c r="H48" s="14">
        <v>1.4830000000000001</v>
      </c>
      <c r="L48" s="14">
        <v>1.7390000000000001</v>
      </c>
      <c r="M48" s="31"/>
      <c r="N48" s="27">
        <v>2.6389999999999998</v>
      </c>
      <c r="P48" s="14">
        <v>2.8980000000000001</v>
      </c>
      <c r="R48" s="14">
        <v>3.0449999999999999</v>
      </c>
      <c r="Y48" s="14">
        <v>1.4610000000000001</v>
      </c>
      <c r="Z48" s="14">
        <v>2.1480000000000001</v>
      </c>
      <c r="AA48" s="14">
        <v>2.4449999999999998</v>
      </c>
      <c r="AB48" s="14">
        <v>2.8969999999999998</v>
      </c>
      <c r="AC48" s="132"/>
    </row>
    <row r="49" spans="1:29" x14ac:dyDescent="0.2">
      <c r="B49" s="1" t="s">
        <v>57</v>
      </c>
      <c r="H49" s="14">
        <f>H44+H45+H46+H47+H48</f>
        <v>298.29100000000011</v>
      </c>
      <c r="L49" s="14">
        <f>L44+L45+L46+L47+L48</f>
        <v>332.78099999999995</v>
      </c>
      <c r="M49" s="31"/>
      <c r="N49" s="27">
        <f>N44+N45+N46+N47+N48</f>
        <v>366.90899999999999</v>
      </c>
      <c r="P49" s="14">
        <f>P44+P45+P46+P47+P48</f>
        <v>399.84500000000003</v>
      </c>
      <c r="R49" s="14">
        <f>R44+R45+R46+R47+R48</f>
        <v>432.68799999999999</v>
      </c>
      <c r="Y49" s="14">
        <f>SUM(Y45:Y48)+Y44</f>
        <v>300.96900000000005</v>
      </c>
      <c r="Z49" s="14">
        <f>SUM(Z45:Z48)+Z44</f>
        <v>363.15199999999999</v>
      </c>
      <c r="AA49" s="14">
        <f>SUM(AA45:AA48)+AA44</f>
        <v>383.50600000000003</v>
      </c>
      <c r="AB49" s="14">
        <f>SUM(AB45:AB48)+AB44</f>
        <v>417.8309999999999</v>
      </c>
      <c r="AC49" s="132"/>
    </row>
    <row r="50" spans="1:29" x14ac:dyDescent="0.2">
      <c r="H50" s="14"/>
      <c r="L50" s="14"/>
      <c r="M50" s="31"/>
    </row>
    <row r="51" spans="1:29" x14ac:dyDescent="0.2">
      <c r="A51" s="3"/>
      <c r="B51" s="1" t="s">
        <v>58</v>
      </c>
      <c r="H51" s="14">
        <v>11.737</v>
      </c>
      <c r="L51" s="14">
        <v>21.773</v>
      </c>
      <c r="M51" s="31"/>
      <c r="N51" s="1">
        <v>25.984000000000002</v>
      </c>
      <c r="P51" s="14">
        <v>29.574000000000002</v>
      </c>
      <c r="R51" s="14">
        <v>28.725000000000001</v>
      </c>
      <c r="Y51" s="14">
        <v>18.141999999999999</v>
      </c>
      <c r="Z51" s="14">
        <v>28.681000000000001</v>
      </c>
      <c r="AA51" s="14">
        <v>29.109000000000002</v>
      </c>
      <c r="AB51" s="14">
        <v>30.427</v>
      </c>
      <c r="AC51" s="132"/>
    </row>
    <row r="52" spans="1:29" x14ac:dyDescent="0.2">
      <c r="A52" s="3"/>
      <c r="B52" s="1" t="s">
        <v>59</v>
      </c>
      <c r="H52" s="14">
        <v>11.831</v>
      </c>
      <c r="L52" s="14">
        <v>11.615</v>
      </c>
      <c r="M52" s="31"/>
      <c r="N52" s="1">
        <v>11.91</v>
      </c>
      <c r="P52" s="14">
        <v>12.964</v>
      </c>
      <c r="R52" s="14">
        <v>15.154999999999999</v>
      </c>
      <c r="Y52" s="14">
        <v>13.811</v>
      </c>
      <c r="Z52" s="14">
        <v>11.557</v>
      </c>
      <c r="AA52" s="14">
        <v>12.553000000000001</v>
      </c>
      <c r="AB52" s="14">
        <v>14.231</v>
      </c>
      <c r="AC52" s="132"/>
    </row>
    <row r="53" spans="1:29" x14ac:dyDescent="0.2">
      <c r="A53" s="3"/>
      <c r="B53" s="1" t="s">
        <v>40</v>
      </c>
      <c r="H53" s="14">
        <v>0</v>
      </c>
      <c r="L53" s="14">
        <v>2.0670000000000002</v>
      </c>
      <c r="M53" s="31"/>
      <c r="N53" s="1">
        <v>9.6000000000000002E-2</v>
      </c>
      <c r="P53" s="14">
        <v>0.79900000000000004</v>
      </c>
      <c r="R53" s="14">
        <v>1.4239999999999999</v>
      </c>
      <c r="Y53" s="14">
        <v>0</v>
      </c>
      <c r="Z53" s="14">
        <v>0</v>
      </c>
      <c r="AA53" s="14">
        <v>0</v>
      </c>
      <c r="AB53" s="14">
        <v>0</v>
      </c>
      <c r="AC53" s="132"/>
    </row>
    <row r="54" spans="1:29" s="3" customFormat="1" x14ac:dyDescent="0.2">
      <c r="B54" s="3" t="s">
        <v>60</v>
      </c>
      <c r="E54" s="61"/>
      <c r="G54" s="61"/>
      <c r="H54" s="12">
        <v>5.38</v>
      </c>
      <c r="I54" s="61"/>
      <c r="K54" s="61"/>
      <c r="L54" s="12">
        <v>0</v>
      </c>
      <c r="M54" s="30"/>
      <c r="N54" s="3">
        <v>0</v>
      </c>
      <c r="O54" s="61"/>
      <c r="P54" s="12">
        <v>0</v>
      </c>
      <c r="Q54" s="61"/>
      <c r="R54" s="12">
        <v>0</v>
      </c>
      <c r="Y54" s="12">
        <v>0</v>
      </c>
      <c r="Z54" s="12">
        <v>0</v>
      </c>
      <c r="AA54" s="12">
        <v>0</v>
      </c>
      <c r="AB54" s="12">
        <v>0</v>
      </c>
      <c r="AC54" s="131"/>
    </row>
    <row r="55" spans="1:29" x14ac:dyDescent="0.2">
      <c r="A55" s="3"/>
      <c r="B55" s="1" t="s">
        <v>61</v>
      </c>
      <c r="H55" s="14">
        <f>SUM(H51:H54)</f>
        <v>28.947999999999997</v>
      </c>
      <c r="L55" s="14">
        <f>SUM(L51:L54)</f>
        <v>35.454999999999998</v>
      </c>
      <c r="M55" s="31"/>
      <c r="N55" s="14">
        <f>SUM(N51:N54)</f>
        <v>37.99</v>
      </c>
      <c r="P55" s="14">
        <f>SUM(P51:P54)</f>
        <v>43.337000000000003</v>
      </c>
      <c r="R55" s="14">
        <f>SUM(R51:R54)</f>
        <v>45.304000000000002</v>
      </c>
      <c r="Y55" s="14">
        <f>SUM(Y51:Y54)</f>
        <v>31.952999999999999</v>
      </c>
      <c r="Z55" s="14">
        <f>SUM(Z51:Z54)</f>
        <v>40.238</v>
      </c>
      <c r="AA55" s="14">
        <f>SUM(AA51:AA54)</f>
        <v>41.662000000000006</v>
      </c>
      <c r="AB55" s="14">
        <f>SUM(AB51:AB54)</f>
        <v>44.658000000000001</v>
      </c>
      <c r="AC55" s="132"/>
    </row>
    <row r="56" spans="1:29" x14ac:dyDescent="0.2">
      <c r="B56" s="1" t="s">
        <v>62</v>
      </c>
      <c r="H56" s="14">
        <v>0.68700000000000006</v>
      </c>
      <c r="L56" s="14">
        <v>0.51600000000000001</v>
      </c>
      <c r="M56" s="31"/>
      <c r="N56" s="1">
        <v>3.8660000000000001</v>
      </c>
      <c r="P56" s="14">
        <v>6.2370000000000001</v>
      </c>
      <c r="R56" s="14">
        <v>7.907</v>
      </c>
      <c r="Y56" s="14">
        <v>0.56499999999999995</v>
      </c>
      <c r="Z56" s="14">
        <v>3</v>
      </c>
      <c r="AA56" s="14">
        <v>5.2080000000000002</v>
      </c>
      <c r="AB56" s="14">
        <v>7.1159999999999997</v>
      </c>
      <c r="AC56" s="132"/>
    </row>
    <row r="57" spans="1:29" x14ac:dyDescent="0.2">
      <c r="B57" s="1" t="s">
        <v>59</v>
      </c>
      <c r="H57" s="14">
        <v>164.32900000000001</v>
      </c>
      <c r="L57" s="14">
        <v>160.916</v>
      </c>
      <c r="M57" s="31"/>
      <c r="N57" s="1">
        <v>180.39599999999999</v>
      </c>
      <c r="P57" s="14">
        <v>192.09</v>
      </c>
      <c r="R57" s="14">
        <v>216.36799999999999</v>
      </c>
      <c r="Y57" s="14">
        <v>160.12899999999999</v>
      </c>
      <c r="Z57" s="14">
        <v>176.81200000000001</v>
      </c>
      <c r="AA57" s="14">
        <v>181.65199999999999</v>
      </c>
      <c r="AB57" s="14">
        <v>204.011</v>
      </c>
      <c r="AC57" s="132"/>
    </row>
    <row r="58" spans="1:29" s="3" customFormat="1" x14ac:dyDescent="0.2">
      <c r="B58" s="3" t="s">
        <v>60</v>
      </c>
      <c r="E58" s="61"/>
      <c r="G58" s="61"/>
      <c r="H58" s="12">
        <v>24.693000000000001</v>
      </c>
      <c r="I58" s="61"/>
      <c r="K58" s="61"/>
      <c r="L58" s="12">
        <v>0</v>
      </c>
      <c r="M58" s="30"/>
      <c r="N58" s="3">
        <v>0</v>
      </c>
      <c r="O58" s="61"/>
      <c r="P58" s="12">
        <v>0</v>
      </c>
      <c r="Q58" s="61"/>
      <c r="R58" s="12">
        <v>0</v>
      </c>
      <c r="Y58" s="12">
        <v>0</v>
      </c>
      <c r="Z58" s="12">
        <v>0</v>
      </c>
      <c r="AA58" s="12">
        <v>1.96</v>
      </c>
      <c r="AB58" s="12">
        <v>0</v>
      </c>
      <c r="AC58" s="131"/>
    </row>
    <row r="59" spans="1:29" s="14" customFormat="1" x14ac:dyDescent="0.2">
      <c r="B59" s="14" t="s">
        <v>52</v>
      </c>
      <c r="E59" s="31"/>
      <c r="G59" s="31"/>
      <c r="H59" s="14">
        <v>0</v>
      </c>
      <c r="I59" s="31"/>
      <c r="K59" s="31"/>
      <c r="L59" s="14">
        <v>0</v>
      </c>
      <c r="M59" s="31"/>
      <c r="N59" s="14">
        <v>0</v>
      </c>
      <c r="O59" s="31"/>
      <c r="P59" s="14">
        <v>1.655</v>
      </c>
      <c r="Q59" s="31"/>
      <c r="R59" s="14">
        <v>4.9710000000000001</v>
      </c>
      <c r="Y59" s="14">
        <v>0</v>
      </c>
      <c r="Z59" s="14">
        <v>0</v>
      </c>
      <c r="AA59" s="14">
        <v>0</v>
      </c>
      <c r="AB59" s="14">
        <v>3.9929999999999999</v>
      </c>
      <c r="AC59" s="132"/>
    </row>
    <row r="60" spans="1:29" x14ac:dyDescent="0.2">
      <c r="A60" s="3"/>
      <c r="B60" s="1" t="s">
        <v>63</v>
      </c>
      <c r="H60" s="14">
        <v>3.8029999999999999</v>
      </c>
      <c r="L60" s="14">
        <v>3.7690000000000001</v>
      </c>
      <c r="M60" s="31"/>
      <c r="N60" s="1">
        <v>5.2969999999999997</v>
      </c>
      <c r="P60" s="14">
        <v>5.6520000000000001</v>
      </c>
      <c r="R60" s="14">
        <v>6.0190000000000001</v>
      </c>
      <c r="Y60" s="14">
        <v>3.6349999999999998</v>
      </c>
      <c r="Z60" s="14">
        <v>4.6820000000000004</v>
      </c>
      <c r="AA60" s="14">
        <v>5.0839999999999996</v>
      </c>
      <c r="AB60" s="14">
        <v>5.8479999999999999</v>
      </c>
      <c r="AC60" s="132"/>
    </row>
    <row r="61" spans="1:29" x14ac:dyDescent="0.2">
      <c r="B61" s="1" t="s">
        <v>64</v>
      </c>
      <c r="H61" s="14">
        <f>H55+H56+H57+H58+H60+H59</f>
        <v>222.46</v>
      </c>
      <c r="L61" s="14">
        <f>L55+L56+L57+L58+L60+L59</f>
        <v>200.65600000000001</v>
      </c>
      <c r="M61" s="31"/>
      <c r="N61" s="14">
        <f>N55+N56+N57+N58+N60+N59</f>
        <v>227.54899999999998</v>
      </c>
      <c r="P61" s="14">
        <f>P55+P56+P57+P58+P60+P59</f>
        <v>248.971</v>
      </c>
      <c r="R61" s="14">
        <f>R55+R56+R57+R58+R60+R59</f>
        <v>280.56900000000002</v>
      </c>
      <c r="Y61" s="14">
        <f t="shared" ref="Y61:AB61" si="71">Y55+Y56+Y57+Y58+Y60+Y59</f>
        <v>196.28199999999998</v>
      </c>
      <c r="Z61" s="14">
        <f t="shared" si="71"/>
        <v>224.732</v>
      </c>
      <c r="AA61" s="14">
        <f t="shared" si="71"/>
        <v>235.566</v>
      </c>
      <c r="AB61" s="14">
        <f t="shared" si="71"/>
        <v>265.62599999999998</v>
      </c>
      <c r="AC61" s="132"/>
    </row>
    <row r="62" spans="1:29" x14ac:dyDescent="0.2">
      <c r="H62" s="14"/>
      <c r="R62" s="14"/>
    </row>
    <row r="63" spans="1:29" x14ac:dyDescent="0.2">
      <c r="B63" s="1" t="s">
        <v>65</v>
      </c>
      <c r="H63" s="14">
        <v>75.83</v>
      </c>
      <c r="L63" s="14">
        <v>132.125</v>
      </c>
      <c r="M63" s="31"/>
      <c r="N63" s="14">
        <v>139.387</v>
      </c>
      <c r="P63" s="14">
        <v>150.874</v>
      </c>
      <c r="R63" s="14">
        <v>152.119</v>
      </c>
      <c r="Y63" s="14">
        <v>104.687</v>
      </c>
      <c r="Z63" s="14">
        <v>138.41999999999999</v>
      </c>
      <c r="AA63" s="14">
        <v>147.94</v>
      </c>
      <c r="AB63" s="14">
        <v>152.20500000000001</v>
      </c>
      <c r="AC63" s="132"/>
    </row>
    <row r="64" spans="1:29" x14ac:dyDescent="0.2">
      <c r="B64" s="1" t="s">
        <v>66</v>
      </c>
      <c r="H64" s="14">
        <f>H61+H63</f>
        <v>298.29000000000002</v>
      </c>
      <c r="L64" s="14">
        <f>L61+L63</f>
        <v>332.78100000000001</v>
      </c>
      <c r="M64" s="31"/>
      <c r="N64" s="14">
        <f>N61+N63</f>
        <v>366.93599999999998</v>
      </c>
      <c r="P64" s="14">
        <f>P61+P63</f>
        <v>399.84500000000003</v>
      </c>
      <c r="R64" s="14">
        <f>R61+R63</f>
        <v>432.68799999999999</v>
      </c>
      <c r="Y64" s="14">
        <f>Y63+Y61</f>
        <v>300.96899999999999</v>
      </c>
      <c r="Z64" s="14">
        <f>Z63+Z61</f>
        <v>363.15199999999999</v>
      </c>
      <c r="AA64" s="14">
        <f>AA63+AA61</f>
        <v>383.50599999999997</v>
      </c>
      <c r="AB64" s="14">
        <f>AB63+AB61</f>
        <v>417.83100000000002</v>
      </c>
      <c r="AC64" s="132"/>
    </row>
    <row r="66" spans="1:29" x14ac:dyDescent="0.2">
      <c r="B66" s="1" t="s">
        <v>131</v>
      </c>
      <c r="H66" s="14">
        <f>H49-H61</f>
        <v>75.831000000000103</v>
      </c>
      <c r="L66" s="14">
        <f>L49-L61</f>
        <v>132.12499999999994</v>
      </c>
      <c r="M66" s="31"/>
      <c r="N66" s="14">
        <f>N49-N61</f>
        <v>139.36000000000001</v>
      </c>
      <c r="P66" s="14">
        <f>P49-P61</f>
        <v>150.87400000000002</v>
      </c>
      <c r="R66" s="14">
        <f>R49-R61</f>
        <v>152.11899999999997</v>
      </c>
      <c r="Y66" s="14">
        <f t="shared" ref="Y66:Z66" si="72">Y49-Y61</f>
        <v>104.68700000000007</v>
      </c>
      <c r="Z66" s="14">
        <f t="shared" si="72"/>
        <v>138.41999999999999</v>
      </c>
      <c r="AA66" s="14">
        <f t="shared" ref="AA66:AB66" si="73">AA49-AA61</f>
        <v>147.94000000000003</v>
      </c>
      <c r="AB66" s="14">
        <f t="shared" si="73"/>
        <v>152.20499999999993</v>
      </c>
      <c r="AC66" s="132"/>
    </row>
    <row r="67" spans="1:29" x14ac:dyDescent="0.2">
      <c r="A67" s="3"/>
      <c r="B67" s="1" t="s">
        <v>132</v>
      </c>
      <c r="H67" s="1">
        <f>H66/H14</f>
        <v>0.50318915060727853</v>
      </c>
      <c r="L67" s="1">
        <f>L66/L14</f>
        <v>0.77343526713555533</v>
      </c>
      <c r="N67" s="1">
        <f>N66/N14</f>
        <v>0.81391234576365445</v>
      </c>
      <c r="P67" s="1">
        <f>P66/P14</f>
        <v>0.87219211748034853</v>
      </c>
      <c r="R67" s="1">
        <f>R66/R14</f>
        <v>0.88472364246444779</v>
      </c>
      <c r="Y67" s="1">
        <f t="shared" ref="Y67:Z67" si="74">Y66/Y14</f>
        <v>0.63597840274765649</v>
      </c>
      <c r="Z67" s="1">
        <f t="shared" si="74"/>
        <v>0.80971382354881549</v>
      </c>
      <c r="AA67" s="1">
        <f t="shared" ref="AA67:AB67" si="75">AA66/AA14</f>
        <v>0.86278472172836618</v>
      </c>
      <c r="AB67" s="1">
        <f t="shared" si="75"/>
        <v>0.8867280467388432</v>
      </c>
    </row>
    <row r="69" spans="1:29" x14ac:dyDescent="0.2">
      <c r="B69" s="1" t="s">
        <v>6</v>
      </c>
      <c r="H69" s="14">
        <f t="shared" ref="H69" si="76">H45</f>
        <v>15.635999999999999</v>
      </c>
      <c r="L69" s="14">
        <f t="shared" ref="L69:N69" si="77">L45</f>
        <v>49.576999999999998</v>
      </c>
      <c r="N69" s="14">
        <f t="shared" si="77"/>
        <v>44.149000000000001</v>
      </c>
      <c r="P69" s="14">
        <f t="shared" ref="P69:R69" si="78">P45</f>
        <v>41.404000000000003</v>
      </c>
      <c r="R69" s="14">
        <f t="shared" si="78"/>
        <v>22.738</v>
      </c>
      <c r="Y69" s="14">
        <f t="shared" ref="Y69" si="79">Y45</f>
        <v>29.942</v>
      </c>
      <c r="Z69" s="14">
        <f>Z45</f>
        <v>56.066000000000003</v>
      </c>
      <c r="AA69" s="14">
        <f t="shared" ref="AA69:AB69" si="80">AA45</f>
        <v>52.454999999999998</v>
      </c>
      <c r="AB69" s="14">
        <f t="shared" si="80"/>
        <v>28.702000000000002</v>
      </c>
      <c r="AC69" s="132"/>
    </row>
    <row r="70" spans="1:29" x14ac:dyDescent="0.2">
      <c r="B70" s="1" t="s">
        <v>7</v>
      </c>
      <c r="H70" s="14">
        <f t="shared" ref="H70" si="81">H54+H58</f>
        <v>30.073</v>
      </c>
      <c r="L70" s="14">
        <f t="shared" ref="L70:N70" si="82">L54+L58</f>
        <v>0</v>
      </c>
      <c r="N70" s="14">
        <f t="shared" si="82"/>
        <v>0</v>
      </c>
      <c r="P70" s="14">
        <f t="shared" ref="P70:R70" si="83">P54+P58</f>
        <v>0</v>
      </c>
      <c r="R70" s="14">
        <f t="shared" si="83"/>
        <v>0</v>
      </c>
      <c r="Y70" s="14">
        <f t="shared" ref="Y70" si="84">Y54+Y58</f>
        <v>0</v>
      </c>
      <c r="Z70" s="14">
        <f>Z54+Z58</f>
        <v>0</v>
      </c>
      <c r="AA70" s="14">
        <f t="shared" ref="AA70:AB70" si="85">AA54+AA58</f>
        <v>1.96</v>
      </c>
      <c r="AB70" s="14">
        <f t="shared" si="85"/>
        <v>0</v>
      </c>
      <c r="AC70" s="132"/>
    </row>
    <row r="71" spans="1:29" x14ac:dyDescent="0.2">
      <c r="B71" s="1" t="s">
        <v>8</v>
      </c>
      <c r="H71" s="14">
        <f>H69-H70</f>
        <v>-14.437000000000001</v>
      </c>
      <c r="L71" s="14">
        <f>L69-L70</f>
        <v>49.576999999999998</v>
      </c>
      <c r="N71" s="14">
        <f>N69-N70</f>
        <v>44.149000000000001</v>
      </c>
      <c r="P71" s="14">
        <f>P69-P70</f>
        <v>41.404000000000003</v>
      </c>
      <c r="R71" s="14">
        <f>R69-R70</f>
        <v>22.738</v>
      </c>
      <c r="Y71" s="14">
        <f>Y69-Y70</f>
        <v>29.942</v>
      </c>
      <c r="Z71" s="14">
        <f>Z69-Z70</f>
        <v>56.066000000000003</v>
      </c>
      <c r="AA71" s="14">
        <f t="shared" ref="AA71:AB71" si="86">AA69-AA70</f>
        <v>50.494999999999997</v>
      </c>
      <c r="AB71" s="14">
        <f t="shared" si="86"/>
        <v>28.702000000000002</v>
      </c>
      <c r="AC71" s="132"/>
    </row>
    <row r="73" spans="1:29" x14ac:dyDescent="0.2">
      <c r="B73" s="1" t="s">
        <v>140</v>
      </c>
      <c r="H73" s="1">
        <v>1.4767999999999999</v>
      </c>
      <c r="L73" s="1">
        <v>2.3904999999999998</v>
      </c>
      <c r="N73" s="1">
        <v>2.3014000000000001</v>
      </c>
      <c r="P73" s="1">
        <v>3.2949999999999999</v>
      </c>
      <c r="R73" s="1">
        <v>2.6949999999999998</v>
      </c>
      <c r="T73" s="1">
        <v>1.4937</v>
      </c>
      <c r="U73" s="1">
        <v>1.6520999999999999</v>
      </c>
      <c r="V73" s="1">
        <v>2.0512999999999999</v>
      </c>
      <c r="W73" s="1">
        <v>2.1863999999999999</v>
      </c>
      <c r="X73" s="1">
        <v>1.2907999999999999</v>
      </c>
      <c r="Y73" s="1">
        <v>2.395</v>
      </c>
      <c r="Z73" s="1">
        <v>1.8740000000000001</v>
      </c>
      <c r="AA73" s="1">
        <v>2.4750000000000001</v>
      </c>
      <c r="AB73" s="1">
        <v>3.1</v>
      </c>
    </row>
    <row r="74" spans="1:29" x14ac:dyDescent="0.2">
      <c r="B74" s="1" t="s">
        <v>5</v>
      </c>
      <c r="H74" s="27">
        <f t="shared" ref="H74" si="87">H73*H14</f>
        <v>222.55491928799998</v>
      </c>
      <c r="L74" s="27">
        <f t="shared" ref="L74:N74" si="88">L73*L14</f>
        <v>408.36618902800001</v>
      </c>
      <c r="N74" s="27">
        <f t="shared" si="88"/>
        <v>394.05116001659997</v>
      </c>
      <c r="P74" s="27">
        <f t="shared" ref="P74:R74" si="89">P73*P14</f>
        <v>569.977439645</v>
      </c>
      <c r="R74" s="27">
        <f t="shared" si="89"/>
        <v>463.37713306500001</v>
      </c>
      <c r="T74" s="27">
        <f t="shared" ref="T74:X74" si="90">T73*T14</f>
        <v>158.09794302899999</v>
      </c>
      <c r="U74" s="27">
        <f t="shared" si="90"/>
        <v>247.815</v>
      </c>
      <c r="V74" s="27">
        <f t="shared" si="90"/>
        <v>307.69499999999999</v>
      </c>
      <c r="W74" s="27">
        <f t="shared" si="90"/>
        <v>327.96</v>
      </c>
      <c r="X74" s="27">
        <f t="shared" si="90"/>
        <v>198.01083562119999</v>
      </c>
      <c r="Y74" s="27">
        <f t="shared" ref="Y74" si="91">Y73*Y14</f>
        <v>394.23565944500001</v>
      </c>
      <c r="Z74" s="27">
        <f>Z73*Z14</f>
        <v>320.358961964</v>
      </c>
      <c r="AA74" s="27">
        <f t="shared" ref="AA74:AB74" si="92">AA73*AA14</f>
        <v>424.38338414999998</v>
      </c>
      <c r="AB74" s="27">
        <f t="shared" si="92"/>
        <v>532.10846520000007</v>
      </c>
      <c r="AC74" s="133"/>
    </row>
    <row r="75" spans="1:29" x14ac:dyDescent="0.2">
      <c r="B75" s="1" t="s">
        <v>9</v>
      </c>
      <c r="H75" s="27">
        <f>H74-H71</f>
        <v>236.99191928799999</v>
      </c>
      <c r="L75" s="27">
        <f>L74-L71</f>
        <v>358.78918902800001</v>
      </c>
      <c r="N75" s="27">
        <f>N74-N71</f>
        <v>349.90216001659996</v>
      </c>
      <c r="P75" s="27">
        <f>P74-P71</f>
        <v>528.57343964500001</v>
      </c>
      <c r="R75" s="27">
        <f>R74-R71</f>
        <v>440.63913306500001</v>
      </c>
      <c r="T75" s="27"/>
      <c r="U75" s="27"/>
      <c r="V75" s="27"/>
      <c r="W75" s="27"/>
      <c r="X75" s="27"/>
      <c r="Y75" s="27">
        <f>Y74-Y71</f>
        <v>364.293659445</v>
      </c>
      <c r="Z75" s="27">
        <f>Z74-Z71</f>
        <v>264.29296196400003</v>
      </c>
      <c r="AA75" s="27">
        <f t="shared" ref="AA75:AB75" si="93">AA74-AA71</f>
        <v>373.88838414999998</v>
      </c>
      <c r="AB75" s="27">
        <f t="shared" si="93"/>
        <v>503.40646520000007</v>
      </c>
      <c r="AC75" s="133"/>
    </row>
    <row r="77" spans="1:29" s="92" customFormat="1" x14ac:dyDescent="0.2">
      <c r="B77" s="92" t="s">
        <v>134</v>
      </c>
      <c r="E77" s="93"/>
      <c r="G77" s="93"/>
      <c r="H77" s="92">
        <f>H73/H67</f>
        <v>2.9348804484709379</v>
      </c>
      <c r="I77" s="93"/>
      <c r="K77" s="93"/>
      <c r="L77" s="92">
        <f>L73/L67</f>
        <v>3.0907563975629149</v>
      </c>
      <c r="M77" s="93"/>
      <c r="N77" s="92">
        <f>N73/N67</f>
        <v>2.827577210222445</v>
      </c>
      <c r="O77" s="93"/>
      <c r="P77" s="92">
        <f>P73/P67</f>
        <v>3.7778373983920348</v>
      </c>
      <c r="Q77" s="93"/>
      <c r="R77" s="92">
        <f>R73/R67</f>
        <v>3.0461489561790445</v>
      </c>
      <c r="Y77" s="92">
        <f t="shared" ref="Y77" si="94">Y73/Y67</f>
        <v>3.7658511510025101</v>
      </c>
      <c r="Z77" s="92">
        <f>Z73/Z67</f>
        <v>2.3143979335645142</v>
      </c>
      <c r="AA77" s="92">
        <f t="shared" ref="AA77:AB77" si="95">AA73/AA67</f>
        <v>2.8686182516560761</v>
      </c>
      <c r="AB77" s="92">
        <f t="shared" si="95"/>
        <v>3.4959985887454441</v>
      </c>
      <c r="AC77" s="139"/>
    </row>
    <row r="78" spans="1:29" s="92" customFormat="1" x14ac:dyDescent="0.2">
      <c r="A78" s="183"/>
      <c r="B78" s="92" t="s">
        <v>135</v>
      </c>
      <c r="E78" s="93"/>
      <c r="G78" s="93"/>
      <c r="H78" s="92">
        <f>+H74/SUM(G3:H3)</f>
        <v>1.6843122836514444</v>
      </c>
      <c r="I78" s="93"/>
      <c r="K78" s="93"/>
      <c r="L78" s="92">
        <f>+L74/SUM(K3:L3)</f>
        <v>2.5267370529767725</v>
      </c>
      <c r="M78" s="93"/>
      <c r="N78" s="92">
        <f>+N74/SUM(M3:N3)</f>
        <v>1.9352281702023375</v>
      </c>
      <c r="O78" s="93"/>
      <c r="P78" s="92">
        <f>+P74/SUM(O3:P3)</f>
        <v>2.5420795017549964</v>
      </c>
      <c r="Q78" s="93"/>
      <c r="R78" s="92">
        <f>+R74/SUM(Q3:R3)</f>
        <v>1.9270365384199517</v>
      </c>
      <c r="T78" s="92">
        <f t="shared" ref="T78:X78" si="96">T74/T3</f>
        <v>1.5085249757068022</v>
      </c>
      <c r="U78" s="92">
        <f t="shared" si="96"/>
        <v>2.174426154710094</v>
      </c>
      <c r="V78" s="92">
        <f t="shared" si="96"/>
        <v>2.552468726150579</v>
      </c>
      <c r="W78" s="92">
        <f t="shared" si="96"/>
        <v>2.5248279366252482</v>
      </c>
      <c r="X78" s="92">
        <f t="shared" si="96"/>
        <v>2.4915485211480628</v>
      </c>
      <c r="Y78" s="92">
        <f t="shared" ref="Y78" si="97">Y74/Y3</f>
        <v>5.4847889402181478</v>
      </c>
      <c r="Z78" s="92">
        <f>Z74/Z3</f>
        <v>1.6535424198491799</v>
      </c>
      <c r="AA78" s="92">
        <f t="shared" ref="AA78:AB78" si="98">AA74/AA3</f>
        <v>1.9731236651602644</v>
      </c>
      <c r="AB78" s="92">
        <f t="shared" si="98"/>
        <v>2.3095085707837275</v>
      </c>
      <c r="AC78" s="139"/>
    </row>
    <row r="79" spans="1:29" x14ac:dyDescent="0.2">
      <c r="B79" s="1" t="s">
        <v>141</v>
      </c>
      <c r="Y79" s="92">
        <f t="shared" ref="Y79" si="99">Y75/Y3</f>
        <v>5.0682219795347674</v>
      </c>
      <c r="Z79" s="92">
        <f>Z75/Z3</f>
        <v>1.3641560741608643</v>
      </c>
      <c r="AA79" s="92">
        <f t="shared" ref="AA79:AB79" si="100">AA75/AA3</f>
        <v>1.7383527405826615</v>
      </c>
      <c r="AB79" s="92">
        <f t="shared" si="100"/>
        <v>2.1849333773150059</v>
      </c>
      <c r="AC79" s="139"/>
    </row>
    <row r="80" spans="1:29" s="92" customFormat="1" x14ac:dyDescent="0.2">
      <c r="B80" s="92" t="s">
        <v>136</v>
      </c>
      <c r="E80" s="93"/>
      <c r="G80" s="93"/>
      <c r="I80" s="93"/>
      <c r="K80" s="93"/>
      <c r="L80" s="92">
        <f>+L73/SUM(K13:L13)</f>
        <v>9.9867133563668204</v>
      </c>
      <c r="M80" s="93"/>
      <c r="N80" s="92">
        <f>+N73/SUM(M13:N13)</f>
        <v>12.176107300310925</v>
      </c>
      <c r="O80" s="93"/>
      <c r="P80" s="92">
        <f>P73/SUM(O13:P13)</f>
        <v>16.624188566150199</v>
      </c>
      <c r="Q80" s="93"/>
      <c r="R80" s="92">
        <f>+R73/SUM(Q13:R13)</f>
        <v>16.196599981070452</v>
      </c>
      <c r="T80" s="92">
        <f t="shared" ref="T80:X80" si="101">T73/T13</f>
        <v>133.19119042038895</v>
      </c>
      <c r="U80" s="92">
        <f t="shared" si="101"/>
        <v>13.652214631996477</v>
      </c>
      <c r="V80" s="92">
        <f t="shared" si="101"/>
        <v>16.380696337308347</v>
      </c>
      <c r="W80" s="92">
        <f t="shared" si="101"/>
        <v>14.71662553286964</v>
      </c>
      <c r="X80" s="92">
        <f t="shared" si="101"/>
        <v>142.9681123618769</v>
      </c>
      <c r="Y80" s="92">
        <f t="shared" ref="Y80" si="102">Y73/Y13</f>
        <v>228.14563625289284</v>
      </c>
      <c r="Z80" s="92">
        <f>Z73/Z13</f>
        <v>8.554082987476967</v>
      </c>
      <c r="AA80" s="92">
        <f t="shared" ref="AA80:AB80" si="103">AA73/AA13</f>
        <v>12.426675182278707</v>
      </c>
      <c r="AB80" s="92">
        <f t="shared" si="103"/>
        <v>17.790319799398205</v>
      </c>
      <c r="AC80" s="139"/>
    </row>
    <row r="81" spans="1:29" x14ac:dyDescent="0.2">
      <c r="B81" s="1" t="s">
        <v>142</v>
      </c>
      <c r="Y81" s="92">
        <f t="shared" ref="Y81" si="104">Y75/Y12</f>
        <v>210.81808995659659</v>
      </c>
      <c r="Z81" s="92">
        <f>Z75/Z12</f>
        <v>7.0570335094924017</v>
      </c>
      <c r="AA81" s="92">
        <f t="shared" ref="AA81:AB81" si="105">AA75/AA12</f>
        <v>10.948094760036312</v>
      </c>
      <c r="AB81" s="92">
        <f t="shared" si="105"/>
        <v>16.830707629555345</v>
      </c>
      <c r="AC81" s="139"/>
    </row>
    <row r="82" spans="1:29" x14ac:dyDescent="0.2">
      <c r="B82" s="1" t="s">
        <v>143</v>
      </c>
    </row>
    <row r="85" spans="1:29" x14ac:dyDescent="0.2">
      <c r="A85" s="3"/>
      <c r="B85" s="29" t="s">
        <v>160</v>
      </c>
    </row>
    <row r="86" spans="1:29" s="14" customFormat="1" x14ac:dyDescent="0.2">
      <c r="A86" s="12"/>
      <c r="B86" s="14" t="s">
        <v>161</v>
      </c>
      <c r="E86" s="31"/>
      <c r="G86" s="31"/>
      <c r="I86" s="31"/>
      <c r="K86" s="31"/>
      <c r="M86" s="31"/>
      <c r="O86" s="31"/>
      <c r="P86" s="14">
        <v>38.188000000000002</v>
      </c>
      <c r="Q86" s="31">
        <f>+AB86-P86</f>
        <v>29.840999999999994</v>
      </c>
      <c r="R86" s="14">
        <v>41.087000000000003</v>
      </c>
      <c r="AA86" s="14">
        <v>63.473999999999997</v>
      </c>
      <c r="AB86" s="14">
        <v>68.028999999999996</v>
      </c>
      <c r="AC86" s="132"/>
    </row>
    <row r="87" spans="1:29" s="14" customFormat="1" x14ac:dyDescent="0.2">
      <c r="B87" s="14" t="s">
        <v>163</v>
      </c>
      <c r="E87" s="31"/>
      <c r="G87" s="31"/>
      <c r="I87" s="31"/>
      <c r="K87" s="31"/>
      <c r="M87" s="31"/>
      <c r="O87" s="31"/>
      <c r="P87" s="14">
        <v>15.523</v>
      </c>
      <c r="Q87" s="31">
        <f>+AB87-P87</f>
        <v>36.212999999999994</v>
      </c>
      <c r="R87" s="14">
        <v>19.669</v>
      </c>
      <c r="AA87" s="14">
        <f>21.801+7.716</f>
        <v>29.516999999999999</v>
      </c>
      <c r="AB87" s="14">
        <f>37.979+13.757</f>
        <v>51.735999999999997</v>
      </c>
      <c r="AC87" s="132"/>
    </row>
    <row r="88" spans="1:29" s="14" customFormat="1" x14ac:dyDescent="0.2">
      <c r="B88" s="14" t="s">
        <v>162</v>
      </c>
      <c r="E88" s="31"/>
      <c r="G88" s="31"/>
      <c r="I88" s="31"/>
      <c r="K88" s="31"/>
      <c r="M88" s="31"/>
      <c r="O88" s="31"/>
      <c r="P88" s="14">
        <f>+P86-P87</f>
        <v>22.665000000000003</v>
      </c>
      <c r="Q88" s="31">
        <f>+Q86-Q87</f>
        <v>-6.3719999999999999</v>
      </c>
      <c r="R88" s="14">
        <f>+R86-R87</f>
        <v>21.418000000000003</v>
      </c>
      <c r="AA88" s="14">
        <f>+AA86-AA87</f>
        <v>33.956999999999994</v>
      </c>
      <c r="AB88" s="14">
        <f>+AB86-AB87</f>
        <v>16.292999999999999</v>
      </c>
      <c r="AC88" s="132"/>
    </row>
    <row r="89" spans="1:29" s="3" customFormat="1" x14ac:dyDescent="0.2">
      <c r="B89" s="3" t="s">
        <v>171</v>
      </c>
      <c r="E89" s="61"/>
      <c r="G89" s="61"/>
      <c r="I89" s="61"/>
      <c r="K89" s="61"/>
      <c r="M89" s="61"/>
      <c r="O89" s="61"/>
      <c r="Q89" s="30">
        <f>+Q88+P88</f>
        <v>16.293000000000003</v>
      </c>
      <c r="R89" s="12">
        <f>+R88+Q88</f>
        <v>15.046000000000003</v>
      </c>
      <c r="AA89" s="12">
        <f>+AA88</f>
        <v>33.956999999999994</v>
      </c>
      <c r="AB89" s="12">
        <f>+AB88</f>
        <v>16.292999999999999</v>
      </c>
      <c r="AC89" s="184"/>
    </row>
    <row r="91" spans="1:29" x14ac:dyDescent="0.2">
      <c r="B91" s="1" t="s">
        <v>164</v>
      </c>
      <c r="P91" s="1">
        <f>+P88/P14</f>
        <v>0.13102479116807467</v>
      </c>
      <c r="R91" s="1">
        <f>+R88/R14</f>
        <v>0.12456702301687197</v>
      </c>
      <c r="AA91" s="1">
        <f>+AA88/AA14</f>
        <v>0.19803691223286549</v>
      </c>
      <c r="AB91" s="1">
        <f>+AB88/AB14</f>
        <v>9.4921060842390062E-2</v>
      </c>
    </row>
    <row r="92" spans="1:29" s="160" customFormat="1" x14ac:dyDescent="0.2">
      <c r="B92" s="160" t="s">
        <v>165</v>
      </c>
      <c r="E92" s="161"/>
      <c r="G92" s="161"/>
      <c r="I92" s="161"/>
      <c r="K92" s="161"/>
      <c r="M92" s="161"/>
      <c r="O92" s="161"/>
      <c r="Q92" s="161"/>
      <c r="AA92" s="160">
        <f>+AA73/AA91</f>
        <v>12.497670116618078</v>
      </c>
      <c r="AB92" s="160">
        <f>+AB73/AB91</f>
        <v>32.658716332167195</v>
      </c>
      <c r="AC92" s="162"/>
    </row>
  </sheetData>
  <hyperlinks>
    <hyperlink ref="L1" r:id="rId1" xr:uid="{B9683B42-B241-4D1D-8CE0-7A17859DA76B}"/>
    <hyperlink ref="Y1" r:id="rId2" xr:uid="{05878C96-F10F-4982-ACE4-FF132CF4E29A}"/>
    <hyperlink ref="W1" r:id="rId3" xr:uid="{6765EA13-C896-4C06-BD01-2D2BC5D2014C}"/>
    <hyperlink ref="H1" r:id="rId4" xr:uid="{D3D9ED60-186F-274D-93DB-4D868CA2340E}"/>
    <hyperlink ref="U1" r:id="rId5" xr:uid="{9260496C-E59A-0143-BDFB-5C62E2643276}"/>
    <hyperlink ref="Z1" r:id="rId6" xr:uid="{D7D97D6D-2030-4F4C-B5FB-6BFE0FD9DC61}"/>
    <hyperlink ref="N1" r:id="rId7" xr:uid="{FC756CF2-3D82-4D5D-9DD4-F7502A0327A9}"/>
    <hyperlink ref="AA1" r:id="rId8" xr:uid="{F32AE00E-F68C-4DC8-A21B-34B62D129557}"/>
    <hyperlink ref="AB1" r:id="rId9" xr:uid="{B35589E2-4FBF-4BF6-992E-28697F9BA04E}"/>
    <hyperlink ref="R1" r:id="rId10" xr:uid="{4221C168-55C5-46A2-9210-4788A07DC5BF}"/>
  </hyperlinks>
  <pageMargins left="0.7" right="0.7" top="0.75" bottom="0.75" header="0.3" footer="0.3"/>
  <pageSetup paperSize="256" orientation="portrait" horizontalDpi="203" verticalDpi="203" r:id="rId11"/>
  <ignoredErrors>
    <ignoredError sqref="K5 K8 K10:K11 I10:I11 I8 I5 G12 G10 G8 G5 M5:M13 AC12 AD11:AR11 O5:O11 Q5:Q14" formula="1"/>
    <ignoredError sqref="AC6" formulaRange="1"/>
  </ignoredError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3"/>
    <col min="3" max="17" width="9.140625" style="1"/>
    <col min="18" max="18" width="9.140625" style="113"/>
    <col min="19" max="16384" width="9.140625" style="1"/>
  </cols>
  <sheetData>
    <row r="1" spans="1:18" x14ac:dyDescent="0.2">
      <c r="A1" s="24" t="s">
        <v>19</v>
      </c>
      <c r="B1" s="97" t="s">
        <v>19</v>
      </c>
      <c r="Q1" s="28" t="s">
        <v>23</v>
      </c>
      <c r="R1" s="114" t="s">
        <v>23</v>
      </c>
    </row>
    <row r="2" spans="1:18" x14ac:dyDescent="0.2">
      <c r="A2" s="35">
        <v>44834</v>
      </c>
      <c r="B2" s="98" t="s">
        <v>67</v>
      </c>
      <c r="Q2" s="22">
        <v>44834</v>
      </c>
      <c r="R2" s="115" t="s">
        <v>67</v>
      </c>
    </row>
    <row r="3" spans="1:18" x14ac:dyDescent="0.2">
      <c r="A3" s="30">
        <v>93.568000000000012</v>
      </c>
      <c r="B3" s="99">
        <v>158.58780000000002</v>
      </c>
      <c r="Q3" s="12">
        <v>193.74100000000001</v>
      </c>
      <c r="R3" s="116">
        <v>258.76080000000002</v>
      </c>
    </row>
    <row r="4" spans="1:18" x14ac:dyDescent="0.2">
      <c r="A4" s="31">
        <v>15.750999999999999</v>
      </c>
      <c r="B4" s="100">
        <v>22.585512000000008</v>
      </c>
      <c r="Q4" s="14">
        <v>29.391999999999999</v>
      </c>
      <c r="R4" s="117">
        <v>36.226512000000007</v>
      </c>
    </row>
    <row r="5" spans="1:18" x14ac:dyDescent="0.2">
      <c r="A5" s="30">
        <v>77.817000000000007</v>
      </c>
      <c r="B5" s="101">
        <v>136.00228800000002</v>
      </c>
      <c r="Q5" s="12">
        <v>164.34900000000002</v>
      </c>
      <c r="R5" s="118">
        <v>222.534288</v>
      </c>
    </row>
    <row r="6" spans="1:18" x14ac:dyDescent="0.2">
      <c r="A6" s="31">
        <v>3.9E-2</v>
      </c>
      <c r="B6" s="100">
        <v>0.4</v>
      </c>
      <c r="Q6" s="14">
        <v>3.9E-2</v>
      </c>
      <c r="R6" s="113">
        <v>0.4</v>
      </c>
    </row>
    <row r="7" spans="1:18" x14ac:dyDescent="0.2">
      <c r="A7" s="31">
        <v>60.022999999999996</v>
      </c>
      <c r="B7" s="100">
        <v>84.6045728</v>
      </c>
      <c r="Q7" s="14">
        <v>108.93899999999999</v>
      </c>
      <c r="R7" s="117">
        <v>133.5205728</v>
      </c>
    </row>
    <row r="8" spans="1:18" x14ac:dyDescent="0.2">
      <c r="A8" s="30">
        <v>17.833000000000013</v>
      </c>
      <c r="B8" s="101">
        <v>51.797715200000027</v>
      </c>
      <c r="Q8" s="12">
        <v>55.449000000000012</v>
      </c>
      <c r="R8" s="118">
        <v>89.413715200000013</v>
      </c>
    </row>
    <row r="9" spans="1:18" x14ac:dyDescent="0.2">
      <c r="A9" s="31">
        <v>4.6049999999999986</v>
      </c>
      <c r="B9" s="100">
        <v>-1.0790000000000002</v>
      </c>
      <c r="Q9" s="14">
        <v>8.7839999999999989</v>
      </c>
      <c r="R9" s="117">
        <v>3.1</v>
      </c>
    </row>
    <row r="10" spans="1:18" x14ac:dyDescent="0.2">
      <c r="A10" s="31">
        <v>13.228000000000014</v>
      </c>
      <c r="B10" s="102">
        <v>52.876715200000028</v>
      </c>
      <c r="Q10" s="14">
        <v>46.665000000000013</v>
      </c>
      <c r="R10" s="119">
        <v>86.313715200000019</v>
      </c>
    </row>
    <row r="11" spans="1:18" x14ac:dyDescent="0.2">
      <c r="A11" s="31">
        <v>2.8020000000000005</v>
      </c>
      <c r="B11" s="100">
        <v>3.9384320000000015</v>
      </c>
      <c r="Q11" s="14">
        <v>9.2140000000000004</v>
      </c>
      <c r="R11" s="117">
        <v>10.350432000000001</v>
      </c>
    </row>
    <row r="12" spans="1:18" x14ac:dyDescent="0.2">
      <c r="A12" s="30">
        <v>10.426000000000013</v>
      </c>
      <c r="B12" s="101">
        <v>48.938283200000029</v>
      </c>
      <c r="Q12" s="12">
        <v>37.451000000000015</v>
      </c>
      <c r="R12" s="118">
        <v>75.963283200000021</v>
      </c>
    </row>
    <row r="13" spans="1:18" x14ac:dyDescent="0.2">
      <c r="A13" s="33">
        <v>6.0988847885565384E-2</v>
      </c>
      <c r="B13" s="103">
        <v>0.29730235065240646</v>
      </c>
      <c r="P13" s="23"/>
      <c r="Q13" s="26">
        <v>0.21907666815291649</v>
      </c>
      <c r="R13" s="120">
        <v>0.46148048484533777</v>
      </c>
    </row>
    <row r="14" spans="1:18" x14ac:dyDescent="0.2">
      <c r="A14" s="32">
        <v>170.949286</v>
      </c>
      <c r="B14" s="100">
        <v>164.60779099999999</v>
      </c>
      <c r="Q14" s="27">
        <v>170.949286</v>
      </c>
      <c r="R14" s="117">
        <v>164.60779099999999</v>
      </c>
    </row>
    <row r="15" spans="1:18" x14ac:dyDescent="0.2">
      <c r="B15" s="104"/>
    </row>
    <row r="16" spans="1:18" x14ac:dyDescent="0.2">
      <c r="A16" s="34">
        <v>0.83166253419972636</v>
      </c>
      <c r="B16" s="105">
        <v>0.857583546779765</v>
      </c>
      <c r="Q16" s="23">
        <v>0.84829230777171583</v>
      </c>
      <c r="R16" s="121">
        <v>0.86</v>
      </c>
    </row>
    <row r="17" spans="1:18" x14ac:dyDescent="0.2">
      <c r="A17" s="34">
        <v>0.19058866279069778</v>
      </c>
      <c r="B17" s="105">
        <v>0.32661853686096926</v>
      </c>
      <c r="Q17" s="23">
        <v>0.28620168162650139</v>
      </c>
      <c r="R17" s="121">
        <v>0.34554582919824023</v>
      </c>
    </row>
    <row r="18" spans="1:18" x14ac:dyDescent="0.2">
      <c r="A18" s="34">
        <v>0.11142698358413144</v>
      </c>
      <c r="B18" s="105">
        <v>0.3085879443437643</v>
      </c>
      <c r="Q18" s="23">
        <v>0.19330446317506367</v>
      </c>
      <c r="R18" s="121">
        <v>0.29356565291187853</v>
      </c>
    </row>
    <row r="19" spans="1:18" x14ac:dyDescent="0.2">
      <c r="A19" s="34">
        <v>0.21182340489869955</v>
      </c>
      <c r="B19" s="105">
        <v>7.4483295437383745E-2</v>
      </c>
      <c r="Q19" s="23">
        <v>0.19744990892531872</v>
      </c>
      <c r="R19" s="121">
        <v>0.11991642320130369</v>
      </c>
    </row>
    <row r="20" spans="1:18" x14ac:dyDescent="0.2">
      <c r="B20" s="104"/>
    </row>
    <row r="21" spans="1:18" x14ac:dyDescent="0.2">
      <c r="A21" s="34">
        <v>0.5227927414761171</v>
      </c>
      <c r="B21" s="105">
        <v>1.5809716006184393</v>
      </c>
      <c r="Q21" s="23">
        <v>1.6954144522663404</v>
      </c>
      <c r="R21" s="121">
        <v>2.6</v>
      </c>
    </row>
    <row r="22" spans="1:18" x14ac:dyDescent="0.2">
      <c r="A22" s="34">
        <v>-6.5935930839647328E-2</v>
      </c>
      <c r="B22" s="105">
        <v>0.58313916923721965</v>
      </c>
      <c r="Q22" s="38" t="s">
        <v>71</v>
      </c>
      <c r="R22" s="122" t="s">
        <v>71</v>
      </c>
    </row>
    <row r="23" spans="1:18" x14ac:dyDescent="0.2">
      <c r="A23" s="34"/>
      <c r="B23" s="105"/>
      <c r="Q23" s="38"/>
      <c r="R23" s="122"/>
    </row>
    <row r="24" spans="1:18" x14ac:dyDescent="0.2">
      <c r="A24" s="34"/>
      <c r="B24" s="105"/>
      <c r="Q24" s="38"/>
      <c r="R24" s="122"/>
    </row>
    <row r="25" spans="1:18" x14ac:dyDescent="0.2">
      <c r="A25" s="53"/>
      <c r="B25" s="106"/>
      <c r="Q25" s="10"/>
      <c r="R25" s="114"/>
    </row>
    <row r="26" spans="1:18" x14ac:dyDescent="0.2">
      <c r="A26" s="34"/>
      <c r="B26" s="105"/>
      <c r="Q26" s="38"/>
      <c r="R26" s="122"/>
    </row>
    <row r="27" spans="1:18" x14ac:dyDescent="0.2">
      <c r="B27" s="104"/>
    </row>
    <row r="28" spans="1:18" x14ac:dyDescent="0.2">
      <c r="A28" s="56"/>
      <c r="B28" s="107"/>
      <c r="Q28" s="52"/>
      <c r="R28" s="123"/>
    </row>
    <row r="29" spans="1:18" x14ac:dyDescent="0.2">
      <c r="A29" s="74"/>
      <c r="B29" s="108"/>
      <c r="Q29" s="80"/>
      <c r="R29" s="124"/>
    </row>
    <row r="30" spans="1:18" x14ac:dyDescent="0.2">
      <c r="A30" s="69"/>
      <c r="B30" s="109"/>
      <c r="Q30" s="70"/>
      <c r="R30" s="125"/>
    </row>
    <row r="31" spans="1:18" x14ac:dyDescent="0.2">
      <c r="A31" s="77"/>
      <c r="B31" s="110"/>
      <c r="Q31" s="75"/>
      <c r="R31" s="126"/>
    </row>
    <row r="32" spans="1:18" x14ac:dyDescent="0.2">
      <c r="B32" s="104"/>
    </row>
    <row r="33" spans="1:18" x14ac:dyDescent="0.2">
      <c r="B33" s="104"/>
    </row>
    <row r="34" spans="1:18" x14ac:dyDescent="0.2">
      <c r="B34" s="104"/>
    </row>
    <row r="35" spans="1:18" x14ac:dyDescent="0.2">
      <c r="A35" s="31"/>
      <c r="B35" s="104"/>
    </row>
    <row r="36" spans="1:18" x14ac:dyDescent="0.2">
      <c r="A36" s="31"/>
      <c r="B36" s="104"/>
    </row>
    <row r="37" spans="1:18" x14ac:dyDescent="0.2">
      <c r="A37" s="31"/>
      <c r="B37" s="104"/>
    </row>
    <row r="38" spans="1:18" x14ac:dyDescent="0.2">
      <c r="A38" s="31"/>
      <c r="B38" s="104"/>
    </row>
    <row r="39" spans="1:18" x14ac:dyDescent="0.2">
      <c r="A39" s="31"/>
      <c r="B39" s="104"/>
    </row>
    <row r="40" spans="1:18" x14ac:dyDescent="0.2">
      <c r="A40" s="30"/>
      <c r="B40" s="111"/>
      <c r="Q40" s="3"/>
      <c r="R40" s="127"/>
    </row>
    <row r="41" spans="1:18" x14ac:dyDescent="0.2">
      <c r="A41" s="31"/>
      <c r="B41" s="104"/>
    </row>
    <row r="42" spans="1:18" x14ac:dyDescent="0.2">
      <c r="A42" s="31"/>
      <c r="B42" s="104"/>
    </row>
    <row r="43" spans="1:18" x14ac:dyDescent="0.2">
      <c r="A43" s="31"/>
      <c r="B43" s="104"/>
    </row>
    <row r="44" spans="1:18" x14ac:dyDescent="0.2">
      <c r="A44" s="31"/>
      <c r="B44" s="104"/>
    </row>
    <row r="45" spans="1:18" x14ac:dyDescent="0.2">
      <c r="A45" s="31"/>
      <c r="B45" s="104"/>
    </row>
    <row r="46" spans="1:18" x14ac:dyDescent="0.2">
      <c r="A46" s="31"/>
      <c r="B46" s="104"/>
    </row>
    <row r="47" spans="1:18" x14ac:dyDescent="0.2">
      <c r="A47" s="31"/>
      <c r="B47" s="104"/>
    </row>
    <row r="48" spans="1:18" x14ac:dyDescent="0.2">
      <c r="A48" s="31"/>
      <c r="B48" s="104"/>
    </row>
    <row r="49" spans="1:18" x14ac:dyDescent="0.2">
      <c r="A49" s="30"/>
      <c r="B49" s="111"/>
      <c r="Q49" s="3"/>
      <c r="R49" s="127"/>
    </row>
    <row r="50" spans="1:18" x14ac:dyDescent="0.2">
      <c r="A50" s="31"/>
      <c r="B50" s="104"/>
    </row>
    <row r="51" spans="1:18" x14ac:dyDescent="0.2">
      <c r="A51" s="31"/>
      <c r="B51" s="104"/>
    </row>
    <row r="52" spans="1:18" x14ac:dyDescent="0.2">
      <c r="A52" s="31"/>
      <c r="B52" s="104"/>
    </row>
    <row r="53" spans="1:18" x14ac:dyDescent="0.2">
      <c r="A53" s="30"/>
      <c r="B53" s="111"/>
      <c r="Q53" s="3"/>
      <c r="R53" s="127"/>
    </row>
    <row r="54" spans="1:18" x14ac:dyDescent="0.2">
      <c r="A54" s="31"/>
      <c r="B54" s="104"/>
    </row>
    <row r="55" spans="1:18" x14ac:dyDescent="0.2">
      <c r="A55" s="31"/>
      <c r="B55" s="104"/>
    </row>
    <row r="56" spans="1:18" x14ac:dyDescent="0.2">
      <c r="B56" s="104"/>
    </row>
    <row r="57" spans="1:18" x14ac:dyDescent="0.2">
      <c r="A57" s="31"/>
      <c r="B57" s="104"/>
    </row>
    <row r="58" spans="1:18" x14ac:dyDescent="0.2">
      <c r="A58" s="31"/>
      <c r="B58" s="104"/>
    </row>
    <row r="59" spans="1:18" x14ac:dyDescent="0.2">
      <c r="B59" s="104"/>
    </row>
    <row r="60" spans="1:18" x14ac:dyDescent="0.2">
      <c r="A60" s="31"/>
      <c r="B60" s="104"/>
    </row>
    <row r="61" spans="1:18" x14ac:dyDescent="0.2">
      <c r="B61" s="104"/>
    </row>
    <row r="62" spans="1:18" x14ac:dyDescent="0.2">
      <c r="B62" s="104"/>
    </row>
    <row r="63" spans="1:18" x14ac:dyDescent="0.2">
      <c r="B63" s="104"/>
    </row>
    <row r="64" spans="1:18" x14ac:dyDescent="0.2">
      <c r="A64" s="95"/>
      <c r="B64" s="112"/>
      <c r="Q64" s="94"/>
      <c r="R64" s="128"/>
    </row>
    <row r="65" spans="2:2" x14ac:dyDescent="0.2">
      <c r="B65" s="104"/>
    </row>
    <row r="66" spans="2:2" x14ac:dyDescent="0.2">
      <c r="B66" s="104"/>
    </row>
    <row r="67" spans="2:2" x14ac:dyDescent="0.2">
      <c r="B67" s="104"/>
    </row>
    <row r="68" spans="2:2" x14ac:dyDescent="0.2">
      <c r="B68" s="104"/>
    </row>
    <row r="69" spans="2:2" x14ac:dyDescent="0.2">
      <c r="B69" s="104"/>
    </row>
    <row r="70" spans="2:2" x14ac:dyDescent="0.2">
      <c r="B70" s="104"/>
    </row>
    <row r="71" spans="2:2" x14ac:dyDescent="0.2">
      <c r="B71" s="104"/>
    </row>
    <row r="72" spans="2:2" x14ac:dyDescent="0.2">
      <c r="B72" s="104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2025-05-29T23:49:15Z</dcterms:modified>
</cp:coreProperties>
</file>