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10DCCC8B-C647-47B1-974C-D0EC6E8904DC}" xr6:coauthVersionLast="47" xr6:coauthVersionMax="47" xr10:uidLastSave="{00000000-0000-0000-0000-000000000000}"/>
  <bookViews>
    <workbookView xWindow="-120" yWindow="-120" windowWidth="29040" windowHeight="15720" activeTab="1" xr2:uid="{3483339E-0186-4DD8-B843-20C8BDA2099F}"/>
  </bookViews>
  <sheets>
    <sheet name="Main" sheetId="1" r:id="rId1"/>
    <sheet name="Financial Model" sheetId="2" r:id="rId2"/>
    <sheet name="Predi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9" i="2" l="1"/>
  <c r="AE9" i="2"/>
  <c r="C37" i="1"/>
  <c r="C34" i="1"/>
  <c r="C11" i="1"/>
  <c r="C10" i="1"/>
  <c r="C9" i="1"/>
  <c r="C27" i="1"/>
  <c r="D29" i="1"/>
  <c r="AD82" i="2"/>
  <c r="AD84" i="2" s="1"/>
  <c r="AC83" i="2"/>
  <c r="AD83" i="2"/>
  <c r="AC82" i="2"/>
  <c r="N17" i="2"/>
  <c r="O17" i="2"/>
  <c r="AD78" i="2"/>
  <c r="AD77" i="2"/>
  <c r="AD76" i="2"/>
  <c r="AD75" i="2"/>
  <c r="AD74" i="2"/>
  <c r="AC78" i="2"/>
  <c r="AC77" i="2"/>
  <c r="AC76" i="2"/>
  <c r="AC75" i="2"/>
  <c r="AC74" i="2"/>
  <c r="AD71" i="2"/>
  <c r="AD72" i="2" s="1"/>
  <c r="AC71" i="2"/>
  <c r="AC72" i="2" s="1"/>
  <c r="AD68" i="2"/>
  <c r="AC68" i="2"/>
  <c r="AC65" i="2"/>
  <c r="AC64" i="2"/>
  <c r="AC66" i="2" s="1"/>
  <c r="AC61" i="2"/>
  <c r="AC62" i="2" s="1"/>
  <c r="AC59" i="2"/>
  <c r="AC49" i="2"/>
  <c r="AC56" i="2" s="1"/>
  <c r="AC34" i="2"/>
  <c r="AC41" i="2" s="1"/>
  <c r="AD65" i="2"/>
  <c r="AD64" i="2"/>
  <c r="AD66" i="2" s="1"/>
  <c r="AD34" i="2"/>
  <c r="AD41" i="2" s="1"/>
  <c r="AD61" i="2" s="1"/>
  <c r="AD62" i="2" s="1"/>
  <c r="AB34" i="2"/>
  <c r="AA34" i="2"/>
  <c r="Z34" i="2"/>
  <c r="Y34" i="2"/>
  <c r="X34" i="2"/>
  <c r="W34" i="2"/>
  <c r="V34" i="2"/>
  <c r="U34" i="2"/>
  <c r="O34" i="2"/>
  <c r="O41" i="2" s="1"/>
  <c r="M34" i="2"/>
  <c r="M41" i="2" s="1"/>
  <c r="AD49" i="2"/>
  <c r="AD56" i="2" s="1"/>
  <c r="AD59" i="2" s="1"/>
  <c r="N2" i="2"/>
  <c r="N14" i="2"/>
  <c r="N9" i="2"/>
  <c r="N6" i="2"/>
  <c r="N19" i="2" s="1"/>
  <c r="N5" i="2"/>
  <c r="N4" i="2"/>
  <c r="AC11" i="2"/>
  <c r="N11" i="2" s="1"/>
  <c r="M71" i="2"/>
  <c r="O71" i="2"/>
  <c r="O68" i="2"/>
  <c r="M65" i="2"/>
  <c r="M64" i="2"/>
  <c r="M49" i="2"/>
  <c r="M56" i="2" s="1"/>
  <c r="M59" i="2" s="1"/>
  <c r="O65" i="2"/>
  <c r="O66" i="2" s="1"/>
  <c r="O64" i="2"/>
  <c r="O49" i="2"/>
  <c r="O56" i="2" s="1"/>
  <c r="O59" i="2" s="1"/>
  <c r="O16" i="2"/>
  <c r="M11" i="2"/>
  <c r="M7" i="2"/>
  <c r="N7" i="2" s="1"/>
  <c r="M6" i="2"/>
  <c r="M19" i="2" s="1"/>
  <c r="O7" i="2"/>
  <c r="O6" i="2"/>
  <c r="O19" i="2" s="1"/>
  <c r="AH9" i="2" l="1"/>
  <c r="AG9" i="2"/>
  <c r="AD86" i="2"/>
  <c r="AD87" i="2" s="1"/>
  <c r="AC84" i="2"/>
  <c r="AC86" i="2" s="1"/>
  <c r="AC87" i="2" s="1"/>
  <c r="O61" i="2"/>
  <c r="O62" i="2" s="1"/>
  <c r="O74" i="2" s="1"/>
  <c r="N8" i="2"/>
  <c r="M61" i="2"/>
  <c r="M62" i="2" s="1"/>
  <c r="M74" i="2" s="1"/>
  <c r="O8" i="2"/>
  <c r="O10" i="2" s="1"/>
  <c r="O12" i="2" s="1"/>
  <c r="O21" i="2" s="1"/>
  <c r="M66" i="2"/>
  <c r="O72" i="2"/>
  <c r="M72" i="2"/>
  <c r="M8" i="2"/>
  <c r="X71" i="2"/>
  <c r="X75" i="2" s="1"/>
  <c r="W71" i="2"/>
  <c r="W75" i="2" s="1"/>
  <c r="V71" i="2"/>
  <c r="V75" i="2" s="1"/>
  <c r="U71" i="2"/>
  <c r="U75" i="2" s="1"/>
  <c r="W68" i="2"/>
  <c r="V68" i="2"/>
  <c r="V65" i="2"/>
  <c r="U65" i="2"/>
  <c r="V64" i="2"/>
  <c r="U64" i="2"/>
  <c r="V49" i="2"/>
  <c r="V56" i="2" s="1"/>
  <c r="V59" i="2" s="1"/>
  <c r="U49" i="2"/>
  <c r="U56" i="2" s="1"/>
  <c r="U59" i="2" s="1"/>
  <c r="V41" i="2"/>
  <c r="V61" i="2" s="1"/>
  <c r="V62" i="2" s="1"/>
  <c r="V74" i="2" s="1"/>
  <c r="U41" i="2"/>
  <c r="V6" i="2"/>
  <c r="V8" i="2" s="1"/>
  <c r="V20" i="2" s="1"/>
  <c r="U6" i="2"/>
  <c r="U8" i="2" s="1"/>
  <c r="W16" i="2"/>
  <c r="V16" i="2"/>
  <c r="AN25" i="2"/>
  <c r="AJ9" i="2" l="1"/>
  <c r="AK9" i="2" s="1"/>
  <c r="AI9" i="2"/>
  <c r="N10" i="2"/>
  <c r="N20" i="2"/>
  <c r="O20" i="2"/>
  <c r="O22" i="2"/>
  <c r="U61" i="2"/>
  <c r="U62" i="2" s="1"/>
  <c r="U74" i="2" s="1"/>
  <c r="U66" i="2"/>
  <c r="U72" i="2" s="1"/>
  <c r="U76" i="2" s="1"/>
  <c r="V66" i="2"/>
  <c r="V72" i="2" s="1"/>
  <c r="O13" i="2"/>
  <c r="M10" i="2"/>
  <c r="M20" i="2"/>
  <c r="U19" i="2"/>
  <c r="V10" i="2"/>
  <c r="V12" i="2" s="1"/>
  <c r="V19" i="2"/>
  <c r="U20" i="2"/>
  <c r="U10" i="2"/>
  <c r="Y68" i="2"/>
  <c r="X68" i="2"/>
  <c r="X65" i="2"/>
  <c r="W65" i="2"/>
  <c r="X64" i="2"/>
  <c r="W64" i="2"/>
  <c r="W41" i="2"/>
  <c r="X41" i="2"/>
  <c r="X49" i="2"/>
  <c r="X56" i="2" s="1"/>
  <c r="X59" i="2" s="1"/>
  <c r="W49" i="2"/>
  <c r="W56" i="2" s="1"/>
  <c r="W59" i="2" s="1"/>
  <c r="X6" i="2"/>
  <c r="X8" i="2" s="1"/>
  <c r="X10" i="2" s="1"/>
  <c r="X12" i="2" s="1"/>
  <c r="X13" i="2" s="1"/>
  <c r="X77" i="2" s="1"/>
  <c r="W6" i="2"/>
  <c r="W8" i="2" s="1"/>
  <c r="W10" i="2" s="1"/>
  <c r="W12" i="2" s="1"/>
  <c r="W21" i="2" s="1"/>
  <c r="Y16" i="2"/>
  <c r="X16" i="2"/>
  <c r="AD22" i="2"/>
  <c r="AE22" i="2" s="1"/>
  <c r="AF22" i="2" s="1"/>
  <c r="AE14" i="2"/>
  <c r="AF14" i="2" s="1"/>
  <c r="AG14" i="2" s="1"/>
  <c r="AH14" i="2" s="1"/>
  <c r="AI14" i="2" s="1"/>
  <c r="AJ14" i="2" s="1"/>
  <c r="AK14" i="2" s="1"/>
  <c r="AC6" i="2"/>
  <c r="N12" i="2" l="1"/>
  <c r="N22" i="2"/>
  <c r="V78" i="2"/>
  <c r="W20" i="2"/>
  <c r="X61" i="2"/>
  <c r="X62" i="2" s="1"/>
  <c r="X74" i="2" s="1"/>
  <c r="V22" i="2"/>
  <c r="W61" i="2"/>
  <c r="W62" i="2" s="1"/>
  <c r="W74" i="2" s="1"/>
  <c r="X66" i="2"/>
  <c r="X72" i="2" s="1"/>
  <c r="X19" i="2"/>
  <c r="V76" i="2"/>
  <c r="M12" i="2"/>
  <c r="M22" i="2"/>
  <c r="X20" i="2"/>
  <c r="V21" i="2"/>
  <c r="V13" i="2"/>
  <c r="V77" i="2" s="1"/>
  <c r="W66" i="2"/>
  <c r="W72" i="2" s="1"/>
  <c r="U12" i="2"/>
  <c r="U22" i="2"/>
  <c r="X21" i="2"/>
  <c r="W13" i="2"/>
  <c r="W77" i="2" s="1"/>
  <c r="W22" i="2"/>
  <c r="AE4" i="2"/>
  <c r="AE5" i="2" s="1"/>
  <c r="AE6" i="2" s="1"/>
  <c r="X22" i="2"/>
  <c r="W19" i="2"/>
  <c r="AE7" i="2"/>
  <c r="AF7" i="2" s="1"/>
  <c r="AG7" i="2" s="1"/>
  <c r="AH7" i="2" s="1"/>
  <c r="AI7" i="2" s="1"/>
  <c r="AJ7" i="2" s="1"/>
  <c r="AK7" i="2" s="1"/>
  <c r="AG22" i="2"/>
  <c r="AC8" i="2"/>
  <c r="AC20" i="2" s="1"/>
  <c r="Z68" i="2"/>
  <c r="Y65" i="2"/>
  <c r="Y64" i="2"/>
  <c r="Y49" i="2"/>
  <c r="Y56" i="2" s="1"/>
  <c r="Y41" i="2"/>
  <c r="AA68" i="2"/>
  <c r="AB68" i="2"/>
  <c r="Z65" i="2"/>
  <c r="Z64" i="2"/>
  <c r="Z49" i="2"/>
  <c r="Z56" i="2" s="1"/>
  <c r="Z59" i="2" s="1"/>
  <c r="Z41" i="2"/>
  <c r="Z71" i="2"/>
  <c r="Z75" i="2" s="1"/>
  <c r="Y71" i="2"/>
  <c r="Y75" i="2" s="1"/>
  <c r="AA71" i="2"/>
  <c r="AA75" i="2" s="1"/>
  <c r="AB71" i="2"/>
  <c r="AB75" i="2" s="1"/>
  <c r="Z16" i="2"/>
  <c r="Y6" i="2"/>
  <c r="Y19" i="2" s="1"/>
  <c r="AA16" i="2"/>
  <c r="Z9" i="2"/>
  <c r="Z6" i="2"/>
  <c r="Z8" i="2" s="1"/>
  <c r="D11" i="1"/>
  <c r="D10" i="1"/>
  <c r="D9" i="1"/>
  <c r="D7" i="1"/>
  <c r="AA65" i="2"/>
  <c r="AA64" i="2"/>
  <c r="AB65" i="2"/>
  <c r="AB64" i="2"/>
  <c r="AA49" i="2"/>
  <c r="AA56" i="2" s="1"/>
  <c r="AA59" i="2" s="1"/>
  <c r="AB49" i="2"/>
  <c r="AB56" i="2" s="1"/>
  <c r="AA41" i="2"/>
  <c r="AB41" i="2"/>
  <c r="AB16" i="2"/>
  <c r="AA6" i="2"/>
  <c r="AA8" i="2" s="1"/>
  <c r="AB6" i="2"/>
  <c r="AB19" i="2" s="1"/>
  <c r="N13" i="2" l="1"/>
  <c r="N21" i="2"/>
  <c r="AE8" i="2"/>
  <c r="AE20" i="2" s="1"/>
  <c r="Z66" i="2"/>
  <c r="Z72" i="2" s="1"/>
  <c r="A75" i="2"/>
  <c r="U21" i="2"/>
  <c r="U13" i="2"/>
  <c r="U77" i="2" s="1"/>
  <c r="U78" i="2"/>
  <c r="W78" i="2"/>
  <c r="W76" i="2"/>
  <c r="X78" i="2"/>
  <c r="X76" i="2"/>
  <c r="M21" i="2"/>
  <c r="M13" i="2"/>
  <c r="Y66" i="2"/>
  <c r="Y72" i="2" s="1"/>
  <c r="AF4" i="2"/>
  <c r="AF5" i="2" s="1"/>
  <c r="AD6" i="2"/>
  <c r="AD8" i="2" s="1"/>
  <c r="AD20" i="2" s="1"/>
  <c r="Y61" i="2"/>
  <c r="Y62" i="2" s="1"/>
  <c r="Y74" i="2" s="1"/>
  <c r="AH22" i="2"/>
  <c r="Z61" i="2"/>
  <c r="Z62" i="2" s="1"/>
  <c r="Z74" i="2" s="1"/>
  <c r="Y59" i="2"/>
  <c r="Z19" i="2"/>
  <c r="AB66" i="2"/>
  <c r="AB72" i="2" s="1"/>
  <c r="Z10" i="2"/>
  <c r="Z20" i="2"/>
  <c r="AA10" i="2"/>
  <c r="AA20" i="2"/>
  <c r="AB59" i="2"/>
  <c r="AB61" i="2"/>
  <c r="AB62" i="2" s="1"/>
  <c r="AN22" i="2"/>
  <c r="Y8" i="2"/>
  <c r="AA61" i="2"/>
  <c r="AA62" i="2" s="1"/>
  <c r="AA74" i="2" s="1"/>
  <c r="AA19" i="2"/>
  <c r="AB8" i="2"/>
  <c r="AA66" i="2"/>
  <c r="AA72" i="2" s="1"/>
  <c r="C8" i="1"/>
  <c r="C35" i="1" s="1"/>
  <c r="AF6" i="2" l="1"/>
  <c r="AF8" i="2" s="1"/>
  <c r="AF20" i="2" s="1"/>
  <c r="AG4" i="2"/>
  <c r="AH4" i="2" s="1"/>
  <c r="AB76" i="2"/>
  <c r="AB74" i="2"/>
  <c r="A74" i="2" s="1"/>
  <c r="AA76" i="2"/>
  <c r="AC10" i="2"/>
  <c r="AC12" i="2" s="1"/>
  <c r="AC13" i="2" s="1"/>
  <c r="Z76" i="2"/>
  <c r="Y76" i="2"/>
  <c r="AD10" i="2"/>
  <c r="AD12" i="2" s="1"/>
  <c r="AI22" i="2"/>
  <c r="AB20" i="2"/>
  <c r="AB10" i="2"/>
  <c r="Y10" i="2"/>
  <c r="Y20" i="2"/>
  <c r="AA12" i="2"/>
  <c r="AA78" i="2" s="1"/>
  <c r="AA22" i="2"/>
  <c r="Z22" i="2"/>
  <c r="Z12" i="2"/>
  <c r="Z78" i="2" s="1"/>
  <c r="C12" i="1"/>
  <c r="C38" i="1" l="1"/>
  <c r="C36" i="1"/>
  <c r="A76" i="2"/>
  <c r="AG5" i="2"/>
  <c r="AG6" i="2" s="1"/>
  <c r="AG8" i="2" s="1"/>
  <c r="AG20" i="2" s="1"/>
  <c r="AC21" i="2"/>
  <c r="AD21" i="2"/>
  <c r="AD13" i="2"/>
  <c r="AI4" i="2"/>
  <c r="AH5" i="2"/>
  <c r="AH6" i="2" s="1"/>
  <c r="AH8" i="2" s="1"/>
  <c r="AE10" i="2"/>
  <c r="AE11" i="2" s="1"/>
  <c r="AE12" i="2" s="1"/>
  <c r="AJ22" i="2"/>
  <c r="Z13" i="2"/>
  <c r="Z77" i="2" s="1"/>
  <c r="Z21" i="2"/>
  <c r="AA21" i="2"/>
  <c r="AA13" i="2"/>
  <c r="AA77" i="2" s="1"/>
  <c r="Y12" i="2"/>
  <c r="Y78" i="2" s="1"/>
  <c r="Y22" i="2"/>
  <c r="AB12" i="2"/>
  <c r="AB78" i="2" s="1"/>
  <c r="AB22" i="2"/>
  <c r="A78" i="2" l="1"/>
  <c r="AH20" i="2"/>
  <c r="AJ4" i="2"/>
  <c r="AI5" i="2"/>
  <c r="AI6" i="2" s="1"/>
  <c r="AI8" i="2" s="1"/>
  <c r="AF10" i="2"/>
  <c r="AF11" i="2" s="1"/>
  <c r="AF12" i="2" s="1"/>
  <c r="AE21" i="2"/>
  <c r="AE13" i="2"/>
  <c r="AK22" i="2"/>
  <c r="AB21" i="2"/>
  <c r="AB13" i="2"/>
  <c r="Y21" i="2"/>
  <c r="Y13" i="2"/>
  <c r="Y77" i="2" s="1"/>
  <c r="AI20" i="2" l="1"/>
  <c r="AG10" i="2"/>
  <c r="AG11" i="2" s="1"/>
  <c r="AG12" i="2" s="1"/>
  <c r="AH10" i="2"/>
  <c r="AH11" i="2" s="1"/>
  <c r="AH12" i="2" s="1"/>
  <c r="AF21" i="2"/>
  <c r="AF13" i="2"/>
  <c r="AB77" i="2"/>
  <c r="A77" i="2" s="1"/>
  <c r="AK4" i="2"/>
  <c r="AJ5" i="2"/>
  <c r="AJ6" i="2" s="1"/>
  <c r="AJ8" i="2" s="1"/>
  <c r="AJ20" i="2" l="1"/>
  <c r="AH21" i="2"/>
  <c r="AH13" i="2"/>
  <c r="AK5" i="2"/>
  <c r="AK6" i="2" s="1"/>
  <c r="AK8" i="2" s="1"/>
  <c r="AG21" i="2"/>
  <c r="AG13" i="2"/>
  <c r="AK20" i="2" l="1"/>
  <c r="AI10" i="2"/>
  <c r="AI11" i="2" s="1"/>
  <c r="AI12" i="2" s="1"/>
  <c r="AJ10" i="2" l="1"/>
  <c r="AJ11" i="2" s="1"/>
  <c r="AJ12" i="2" s="1"/>
  <c r="AK10" i="2"/>
  <c r="AK11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AI21" i="2"/>
  <c r="AI13" i="2"/>
  <c r="AN21" i="2" l="1"/>
  <c r="AN23" i="2" s="1"/>
  <c r="AN24" i="2" s="1"/>
  <c r="AK21" i="2"/>
  <c r="AK13" i="2"/>
  <c r="AJ21" i="2"/>
  <c r="AJ13" i="2"/>
  <c r="AN26" i="2" l="1"/>
</calcChain>
</file>

<file path=xl/sharedStrings.xml><?xml version="1.0" encoding="utf-8"?>
<sst xmlns="http://schemas.openxmlformats.org/spreadsheetml/2006/main" count="158" uniqueCount="127">
  <si>
    <t>£HLF</t>
  </si>
  <si>
    <t>Halfords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</si>
  <si>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</si>
  <si>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</si>
  <si>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</si>
  <si>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</si>
  <si>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</si>
  <si>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</si>
  <si>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</si>
  <si>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</si>
  <si>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</si>
  <si>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</si>
  <si>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</si>
  <si>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IR</t>
  </si>
  <si>
    <t>Profile</t>
  </si>
  <si>
    <t>HQ</t>
  </si>
  <si>
    <t>Founded</t>
  </si>
  <si>
    <t>IPO</t>
  </si>
  <si>
    <t>Inventory</t>
  </si>
  <si>
    <t>Update</t>
  </si>
  <si>
    <t>Valuation Metrics</t>
  </si>
  <si>
    <t>P/B</t>
  </si>
  <si>
    <t>P/S</t>
  </si>
  <si>
    <t>P/E</t>
  </si>
  <si>
    <t>EV/E</t>
  </si>
  <si>
    <t>EV/S</t>
  </si>
  <si>
    <t>Key Events</t>
  </si>
  <si>
    <t>Link</t>
  </si>
  <si>
    <t>Redditch, UK</t>
  </si>
  <si>
    <t>Graham Stapleton</t>
  </si>
  <si>
    <t>Ms. Jo Hartley</t>
  </si>
  <si>
    <t>COO</t>
  </si>
  <si>
    <t>Rob Keates</t>
  </si>
  <si>
    <t>Andy Lynch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</si>
  <si>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</si>
  <si>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</si>
  <si>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</si>
  <si>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</si>
  <si>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</si>
  <si>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</si>
  <si>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</si>
  <si>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</si>
  <si>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</si>
  <si>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</si>
  <si>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</si>
  <si>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</si>
  <si>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</si>
  <si>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</si>
  <si>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</si>
  <si>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</si>
  <si>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</si>
  <si>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</si>
  <si>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</si>
  <si>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</si>
  <si>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</si>
  <si>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</si>
  <si>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</si>
  <si>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</si>
  <si>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</si>
  <si>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</si>
  <si>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</si>
  <si>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</si>
  <si>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EPS</t>
  </si>
  <si>
    <t>Net Income</t>
  </si>
  <si>
    <t>Revenue</t>
  </si>
  <si>
    <t>COGS</t>
  </si>
  <si>
    <t>Gross Profit</t>
  </si>
  <si>
    <t>Operating Expenses</t>
  </si>
  <si>
    <t>Operating Income</t>
  </si>
  <si>
    <t>Finance Costs</t>
  </si>
  <si>
    <t>Pretax Income</t>
  </si>
  <si>
    <t>Taxes</t>
  </si>
  <si>
    <t>Revenue Y/Y</t>
  </si>
  <si>
    <t>Revenue H/H</t>
  </si>
  <si>
    <t>Gross Margin</t>
  </si>
  <si>
    <t>Operating Margin</t>
  </si>
  <si>
    <t>Net Margin</t>
  </si>
  <si>
    <t>Tax Rate</t>
  </si>
  <si>
    <t>-</t>
  </si>
  <si>
    <t>Balance Sheet</t>
  </si>
  <si>
    <t>Intangibles</t>
  </si>
  <si>
    <t>PP&amp;E</t>
  </si>
  <si>
    <t>ROU Assets</t>
  </si>
  <si>
    <t>Derivative Financial Instruments</t>
  </si>
  <si>
    <t>Deferred Taxes</t>
  </si>
  <si>
    <t>TNCA</t>
  </si>
  <si>
    <t>Inventories</t>
  </si>
  <si>
    <t>Trade &amp; A/R</t>
  </si>
  <si>
    <t>Assets Held-for-Sale</t>
  </si>
  <si>
    <t>Current Taxes</t>
  </si>
  <si>
    <t>Assets</t>
  </si>
  <si>
    <t>Borrowings</t>
  </si>
  <si>
    <t>Lease Liabilities</t>
  </si>
  <si>
    <t>Trade &amp; A/P</t>
  </si>
  <si>
    <t>Current Tax Liabilities</t>
  </si>
  <si>
    <t>Provisions</t>
  </si>
  <si>
    <t>TCL</t>
  </si>
  <si>
    <t>Liabilities</t>
  </si>
  <si>
    <t>S/E</t>
  </si>
  <si>
    <t>S/E+L</t>
  </si>
  <si>
    <t>Book Value</t>
  </si>
  <si>
    <t>Book Value per Share</t>
  </si>
  <si>
    <t>Inventories Y/Y</t>
  </si>
  <si>
    <t>Share Price</t>
  </si>
  <si>
    <t>ROCE</t>
  </si>
  <si>
    <t>Leading retailer of Car Parts &amp; Bicycles in the United Kingdom</t>
  </si>
  <si>
    <t>June</t>
  </si>
  <si>
    <t>Cashflow Statement</t>
  </si>
  <si>
    <t>FY17</t>
  </si>
  <si>
    <t>FY16</t>
  </si>
  <si>
    <t>FY15</t>
  </si>
  <si>
    <t>Investments</t>
  </si>
  <si>
    <t>Maturity Rate</t>
  </si>
  <si>
    <t>Discount Rate</t>
  </si>
  <si>
    <t>NPV</t>
  </si>
  <si>
    <t>Total Value</t>
  </si>
  <si>
    <t>Per Share</t>
  </si>
  <si>
    <t>Current SP</t>
  </si>
  <si>
    <t>Upside</t>
  </si>
  <si>
    <t>Shares spike on a rumour of a 270p per share takeover offer from Betaville</t>
  </si>
  <si>
    <t>H125</t>
  </si>
  <si>
    <t>H225</t>
  </si>
  <si>
    <t>CFFO</t>
  </si>
  <si>
    <t>CapEx</t>
  </si>
  <si>
    <t>FCF</t>
  </si>
  <si>
    <t>FCF Per Share</t>
  </si>
  <si>
    <t>Price /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</si>
</sst>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7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4" fillId="0" borderId="0" xfId="1" applyFont="1" applyAlignment="1">
      <alignment horizontal="right"/>
    </xf>
    <xf numFmtId="164" fontId="2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8" fillId="0" borderId="0" xfId="0" applyFont="1"/>
    <xf numFmtId="0" fontId="1" fillId="5" borderId="0" xfId="0" applyFont="1" applyFill="1"/>
    <xf numFmtId="0" fontId="2" fillId="6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164" fontId="1" fillId="6" borderId="0" xfId="0" applyNumberFormat="1" applyFont="1" applyFill="1"/>
    <xf numFmtId="14" fontId="7" fillId="6" borderId="0" xfId="0" applyNumberFormat="1" applyFont="1" applyFill="1" applyAlignment="1">
      <alignment horizontal="right"/>
    </xf>
    <xf numFmtId="2" fontId="1" fillId="0" borderId="0" xfId="0" applyNumberFormat="1" applyFont="1"/>
    <xf numFmtId="2" fontId="1" fillId="6" borderId="0" xfId="0" applyNumberFormat="1" applyFont="1" applyFill="1"/>
    <xf numFmtId="9" fontId="1" fillId="6" borderId="0" xfId="0" applyNumberFormat="1" applyFont="1" applyFill="1"/>
    <xf numFmtId="165" fontId="1" fillId="0" borderId="0" xfId="0" applyNumberFormat="1" applyFont="1"/>
    <xf numFmtId="165" fontId="1" fillId="6" borderId="0" xfId="0" applyNumberFormat="1" applyFont="1" applyFill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9" fillId="0" borderId="0" xfId="0" applyNumberFormat="1" applyFont="1"/>
    <xf numFmtId="164" fontId="11" fillId="0" borderId="0" xfId="0" applyNumberFormat="1" applyFont="1"/>
    <xf numFmtId="0" fontId="11" fillId="0" borderId="0" xfId="0" applyFont="1"/>
    <xf numFmtId="9" fontId="9" fillId="0" borderId="0" xfId="0" applyNumberFormat="1" applyFont="1"/>
    <xf numFmtId="0" fontId="9" fillId="0" borderId="0" xfId="0" applyFont="1"/>
    <xf numFmtId="9" fontId="11" fillId="0" borderId="0" xfId="0" applyNumberFormat="1" applyFont="1"/>
    <xf numFmtId="2" fontId="11" fillId="0" borderId="0" xfId="0" applyNumberFormat="1" applyFont="1"/>
    <xf numFmtId="165" fontId="11" fillId="0" borderId="0" xfId="0" applyNumberFormat="1" applyFont="1"/>
    <xf numFmtId="4" fontId="11" fillId="0" borderId="0" xfId="0" applyNumberFormat="1" applyFont="1"/>
    <xf numFmtId="0" fontId="1" fillId="3" borderId="1" xfId="0" applyFont="1" applyFill="1" applyBorder="1"/>
    <xf numFmtId="9" fontId="1" fillId="4" borderId="3" xfId="0" applyNumberFormat="1" applyFont="1" applyFill="1" applyBorder="1"/>
    <xf numFmtId="9" fontId="1" fillId="4" borderId="5" xfId="0" applyNumberFormat="1" applyFont="1" applyFill="1" applyBorder="1"/>
    <xf numFmtId="164" fontId="1" fillId="4" borderId="5" xfId="0" applyNumberFormat="1" applyFont="1" applyFill="1" applyBorder="1"/>
    <xf numFmtId="164" fontId="2" fillId="4" borderId="5" xfId="0" applyNumberFormat="1" applyFont="1" applyFill="1" applyBorder="1"/>
    <xf numFmtId="9" fontId="1" fillId="4" borderId="8" xfId="0" applyNumberFormat="1" applyFont="1" applyFill="1" applyBorder="1"/>
    <xf numFmtId="165" fontId="12" fillId="0" borderId="0" xfId="0" applyNumberFormat="1" applyFont="1"/>
    <xf numFmtId="16" fontId="1" fillId="0" borderId="0" xfId="0" applyNumberFormat="1" applyFont="1"/>
    <xf numFmtId="0" fontId="1" fillId="4" borderId="0" xfId="0" applyFont="1" applyFill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7" fontId="2" fillId="3" borderId="4" xfId="0" applyNumberFormat="1" applyFont="1" applyFill="1" applyBorder="1" applyAlignment="1">
      <alignment horizontal="center"/>
    </xf>
    <xf numFmtId="16" fontId="7" fillId="0" borderId="0" xfId="0" applyNumberFormat="1" applyFont="1" applyAlignment="1">
      <alignment horizontal="right"/>
    </xf>
    <xf numFmtId="4" fontId="1" fillId="6" borderId="0" xfId="0" applyNumberFormat="1" applyFont="1" applyFill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164" fontId="2" fillId="6" borderId="0" xfId="0" applyNumberFormat="1" applyFont="1" applyFill="1"/>
    <xf numFmtId="167" fontId="1" fillId="0" borderId="0" xfId="0" applyNumberFormat="1" applyFont="1"/>
    <xf numFmtId="167" fontId="1" fillId="6" borderId="0" xfId="0" applyNumberFormat="1" applyFont="1" applyFill="1"/>
    <xf numFmtId="167" fontId="11" fillId="0" borderId="0" xfId="0" applyNumberFormat="1" applyFont="1"/>
    <xf numFmtId="9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152401</xdr:colOff>
      <xdr:row>0</xdr:row>
      <xdr:rowOff>38100</xdr:rowOff>
    </xdr:from>
    <xdr:to>
      <xdr:col>4</xdr:col>
      <xdr:colOff>323851</xdr:colOff>
      <xdr:row>3</xdr:row>
      <xdr:rowOff>132010</xdr:rowOff>
    </xdr:to>
    <xdr:pic>
      <xdr:nvPicPr>
        <xdr:cNvPr id="5" name="Picture 4" descr="Logos - Halfords Group plc">
          <a:extLst>
            <a:ext uri="{FF2B5EF4-FFF2-40B4-BE49-F238E27FC236}">
              <a16:creationId xmlns:a16="http://schemas.microsoft.com/office/drawing/2014/main" id="{8DE18E02-A2E8-42A6-B93E-AD298B62D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1" y="38100"/>
          <a:ext cx="781050" cy="57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3175</xdr:colOff>
      <xdr:row>0</xdr:row>
      <xdr:rowOff>0</xdr:rowOff>
    </xdr:from>
    <xdr:to>
      <xdr:col>30</xdr:col>
      <xdr:colOff>3175</xdr:colOff>
      <xdr:row>107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034710-97C6-B91F-069E-CC92839E9429}"/>
            </a:ext>
          </a:extLst>
        </xdr:cNvPr>
        <xdr:cNvCxnSpPr/>
      </xdr:nvCxnSpPr>
      <xdr:spPr>
        <a:xfrm>
          <a:off x="19024600" y="0"/>
          <a:ext cx="0" cy="17202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22225</xdr:colOff>
      <xdr:row>0</xdr:row>
      <xdr:rowOff>0</xdr:rowOff>
    </xdr:from>
    <xdr:to>
      <xdr:col>15</xdr:col>
      <xdr:colOff>22225</xdr:colOff>
      <xdr:row>107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F4BF802-DCCD-2E46-B85F-DACBC709F492}"/>
            </a:ext>
          </a:extLst>
        </xdr:cNvPr>
        <xdr:cNvCxnSpPr/>
      </xdr:nvCxnSpPr>
      <xdr:spPr>
        <a:xfrm>
          <a:off x="9899650" y="0"/>
          <a:ext cx="0" cy="17202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0</xdr:row>
      <xdr:rowOff>0</xdr:rowOff>
    </xdr:from>
    <xdr:to>
      <xdr:col>20</xdr:col>
      <xdr:colOff>306471</xdr:colOff>
      <xdr:row>37</xdr:row>
      <xdr:rowOff>77047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D675C1-C1DB-98BB-14C7-7D4C1E12B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0"/>
          <a:ext cx="11974596" cy="6068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fordscompany.com/investor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halfordscompany.com/media/kq5ftogg/halfords-ar2018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halfordscompany.com/media/2727/halfords-annual-report-2020-webready.pdf" TargetMode="External"/><Relationship Id="rId1" Type="http://schemas.openxmlformats.org/officeDocument/2006/relationships/hyperlink" Target="https://www.halfordscompany.com/media/2978/30987-halfords-ar2022_web-ready.pdf" TargetMode="External"/><Relationship Id="rId6" Type="http://schemas.openxmlformats.org/officeDocument/2006/relationships/hyperlink" Target="https://www.halfordscompany.com/media/pjjd5sye/halfords-prelim-results-fy24-final.pdf" TargetMode="External"/><Relationship Id="rId5" Type="http://schemas.openxmlformats.org/officeDocument/2006/relationships/hyperlink" Target="https://www.halfordscompany.com/media/uzajcamd/halfords-group-plc-fy24-interim-statement-final-clean.pdf" TargetMode="External"/><Relationship Id="rId4" Type="http://schemas.openxmlformats.org/officeDocument/2006/relationships/hyperlink" Target="https://www.halfordscompany.com/media/jyidkf11/prelims-rns-fy16-final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5AEF-8447-4D06-8D6B-C9C6F674AB9E}">
  <dimension ref="B2:O39"/>
  <sheetViews>
    <sheetView workbookViewId="0">
      <selection activeCell="Q26" sqref="Q26"/>
    </sheetView>
  </sheetViews>
  <sheetFormatPr defaultColWidth="9.140625" defaultRowHeight="12.75" x14ac:dyDescent="0.2"/>
  <cols>
    <col min="1" max="16384" width="9.140625" style="1"/>
  </cols>
  <sheetData>
    <row r="2" spans="2:15" x14ac:dyDescent="0.2">
      <c r="B2" s="2" t="s">
        <v>0</v>
      </c>
      <c r="F2" s="30" t="s">
        <v>105</v>
      </c>
      <c r="G2" s="30"/>
      <c r="H2" s="30"/>
      <c r="I2" s="30"/>
      <c r="J2" s="30"/>
      <c r="K2" s="30"/>
    </row>
    <row r="3" spans="2:15" x14ac:dyDescent="0.2">
      <c r="B3" s="2" t="s">
        <v>1</v>
      </c>
    </row>
    <row r="5" spans="2:15" x14ac:dyDescent="0.2">
      <c r="B5" s="70" t="s">
        <v>2</v>
      </c>
      <c r="C5" s="71"/>
      <c r="D5" s="72"/>
      <c r="G5" s="70" t="s">
        <v>26</v>
      </c>
      <c r="H5" s="71"/>
      <c r="I5" s="71"/>
      <c r="J5" s="71"/>
      <c r="K5" s="71"/>
      <c r="L5" s="71"/>
      <c r="M5" s="71"/>
      <c r="N5" s="71"/>
      <c r="O5" s="72"/>
    </row>
    <row r="6" spans="2:15" x14ac:dyDescent="0.2">
      <c r="B6" s="3" t="s">
        <v>3</v>
      </c>
      <c r="C6" s="1">
        <v>1.5960000000000001</v>
      </c>
      <c r="D6" s="15"/>
      <c r="G6" s="63"/>
      <c r="H6" s="6"/>
      <c r="I6" s="6"/>
      <c r="J6" s="6"/>
      <c r="K6" s="6"/>
      <c r="L6" s="6"/>
      <c r="M6" s="6"/>
      <c r="N6" s="6"/>
      <c r="O6" s="7"/>
    </row>
    <row r="7" spans="2:15" x14ac:dyDescent="0.2">
      <c r="B7" s="3" t="s">
        <v>4</v>
      </c>
      <c r="C7" s="17">
        <v>218.92873599999999</v>
      </c>
      <c r="D7" s="15" t="str">
        <f>C29</f>
        <v>FY24</v>
      </c>
      <c r="G7" s="63"/>
      <c r="H7" s="6"/>
      <c r="I7" s="6"/>
      <c r="J7" s="6"/>
      <c r="K7" s="6"/>
      <c r="L7" s="6"/>
      <c r="M7" s="6"/>
      <c r="N7" s="6"/>
      <c r="O7" s="7"/>
    </row>
    <row r="8" spans="2:15" x14ac:dyDescent="0.2">
      <c r="B8" s="3" t="s">
        <v>5</v>
      </c>
      <c r="C8" s="17">
        <f>C6*C7</f>
        <v>349.41026265599999</v>
      </c>
      <c r="D8" s="15"/>
      <c r="G8" s="63"/>
      <c r="H8" s="6"/>
      <c r="I8" s="6"/>
      <c r="J8" s="6"/>
      <c r="K8" s="6"/>
      <c r="L8" s="6"/>
      <c r="M8" s="6"/>
      <c r="N8" s="6"/>
      <c r="O8" s="7"/>
    </row>
    <row r="9" spans="2:15" x14ac:dyDescent="0.2">
      <c r="B9" s="3" t="s">
        <v>6</v>
      </c>
      <c r="C9" s="17">
        <f>'Financial Model'!AD64</f>
        <v>13.5</v>
      </c>
      <c r="D9" s="15" t="str">
        <f>$C$29</f>
        <v>FY24</v>
      </c>
      <c r="G9" s="63"/>
      <c r="H9" s="6"/>
      <c r="I9" s="6"/>
      <c r="J9" s="6"/>
      <c r="K9" s="6"/>
      <c r="L9" s="6"/>
      <c r="M9" s="6"/>
      <c r="N9" s="6"/>
      <c r="O9" s="7"/>
    </row>
    <row r="10" spans="2:15" x14ac:dyDescent="0.2">
      <c r="B10" s="3" t="s">
        <v>7</v>
      </c>
      <c r="C10" s="17">
        <f>'Financial Model'!AD65</f>
        <v>23.000000000000004</v>
      </c>
      <c r="D10" s="15" t="str">
        <f>$C$29</f>
        <v>FY24</v>
      </c>
      <c r="G10" s="65">
        <v>45200</v>
      </c>
      <c r="H10" s="6" t="s">
        <v>119</v>
      </c>
      <c r="I10" s="6"/>
      <c r="J10" s="6"/>
      <c r="K10" s="6"/>
      <c r="L10" s="6"/>
      <c r="M10" s="6"/>
      <c r="N10" s="6"/>
      <c r="O10" s="7"/>
    </row>
    <row r="11" spans="2:15" x14ac:dyDescent="0.2">
      <c r="B11" s="3" t="s">
        <v>8</v>
      </c>
      <c r="C11" s="17">
        <f>'Financial Model'!AD66</f>
        <v>-9.5000000000000036</v>
      </c>
      <c r="D11" s="15" t="str">
        <f>$C$29</f>
        <v>FY24</v>
      </c>
      <c r="G11" s="63"/>
      <c r="H11" s="6"/>
      <c r="I11" s="6"/>
      <c r="J11" s="6"/>
      <c r="K11" s="6"/>
      <c r="L11" s="6"/>
      <c r="M11" s="6"/>
      <c r="N11" s="6"/>
      <c r="O11" s="7"/>
    </row>
    <row r="12" spans="2:15" x14ac:dyDescent="0.2">
      <c r="B12" s="4" t="s">
        <v>9</v>
      </c>
      <c r="C12" s="18">
        <f>C8-C11</f>
        <v>358.91026265599999</v>
      </c>
      <c r="D12" s="16"/>
      <c r="G12" s="63"/>
      <c r="H12" s="6"/>
      <c r="I12" s="6"/>
      <c r="J12" s="6"/>
      <c r="K12" s="6"/>
      <c r="L12" s="6"/>
      <c r="M12" s="6"/>
      <c r="N12" s="6"/>
      <c r="O12" s="7"/>
    </row>
    <row r="13" spans="2:15" x14ac:dyDescent="0.2">
      <c r="G13" s="63"/>
      <c r="H13" s="6"/>
      <c r="I13" s="6"/>
      <c r="J13" s="6"/>
      <c r="K13" s="6"/>
      <c r="L13" s="6"/>
      <c r="M13" s="6"/>
      <c r="N13" s="6"/>
      <c r="O13" s="7"/>
    </row>
    <row r="14" spans="2:15" x14ac:dyDescent="0.2">
      <c r="G14" s="63"/>
      <c r="H14" s="6"/>
      <c r="I14" s="6"/>
      <c r="J14" s="6"/>
      <c r="K14" s="6"/>
      <c r="L14" s="6"/>
      <c r="M14" s="6"/>
      <c r="N14" s="6"/>
      <c r="O14" s="7"/>
    </row>
    <row r="15" spans="2:15" x14ac:dyDescent="0.2">
      <c r="B15" s="70" t="s">
        <v>10</v>
      </c>
      <c r="C15" s="71"/>
      <c r="D15" s="72"/>
      <c r="G15" s="63"/>
      <c r="H15" s="6"/>
      <c r="I15" s="6"/>
      <c r="J15" s="6"/>
      <c r="K15" s="6"/>
      <c r="L15" s="6"/>
      <c r="M15" s="6"/>
      <c r="N15" s="6"/>
      <c r="O15" s="7"/>
    </row>
    <row r="16" spans="2:15" x14ac:dyDescent="0.2">
      <c r="B16" s="5" t="s">
        <v>11</v>
      </c>
      <c r="C16" s="73" t="s">
        <v>29</v>
      </c>
      <c r="D16" s="74"/>
      <c r="G16" s="63"/>
      <c r="H16" s="6"/>
      <c r="I16" s="6"/>
      <c r="J16" s="6"/>
      <c r="K16" s="6"/>
      <c r="L16" s="6"/>
      <c r="M16" s="6"/>
      <c r="N16" s="6"/>
      <c r="O16" s="7"/>
    </row>
    <row r="17" spans="2:15" x14ac:dyDescent="0.2">
      <c r="B17" s="5" t="s">
        <v>12</v>
      </c>
      <c r="C17" s="73" t="s">
        <v>30</v>
      </c>
      <c r="D17" s="74"/>
      <c r="G17" s="63"/>
      <c r="H17" s="6"/>
      <c r="I17" s="6"/>
      <c r="J17" s="6"/>
      <c r="K17" s="6"/>
      <c r="L17" s="6"/>
      <c r="M17" s="6"/>
      <c r="N17" s="6"/>
      <c r="O17" s="7"/>
    </row>
    <row r="18" spans="2:15" x14ac:dyDescent="0.2">
      <c r="B18" s="5" t="s">
        <v>31</v>
      </c>
      <c r="C18" s="73" t="s">
        <v>32</v>
      </c>
      <c r="D18" s="74"/>
      <c r="G18" s="63"/>
      <c r="H18" s="6"/>
      <c r="I18" s="6"/>
      <c r="J18" s="6"/>
      <c r="K18" s="6"/>
      <c r="L18" s="6"/>
      <c r="M18" s="6"/>
      <c r="N18" s="6"/>
      <c r="O18" s="7"/>
    </row>
    <row r="19" spans="2:15" x14ac:dyDescent="0.2">
      <c r="B19" s="8" t="s">
        <v>13</v>
      </c>
      <c r="C19" s="68" t="s">
        <v>33</v>
      </c>
      <c r="D19" s="69"/>
      <c r="G19" s="64"/>
      <c r="H19" s="9"/>
      <c r="I19" s="9"/>
      <c r="J19" s="9"/>
      <c r="K19" s="9"/>
      <c r="L19" s="9"/>
      <c r="M19" s="9"/>
      <c r="N19" s="9"/>
      <c r="O19" s="10"/>
    </row>
    <row r="22" spans="2:15" x14ac:dyDescent="0.2">
      <c r="B22" s="70" t="s">
        <v>14</v>
      </c>
      <c r="C22" s="71"/>
      <c r="D22" s="72"/>
    </row>
    <row r="23" spans="2:15" x14ac:dyDescent="0.2">
      <c r="B23" s="11" t="s">
        <v>15</v>
      </c>
      <c r="C23" s="73" t="s">
        <v>28</v>
      </c>
      <c r="D23" s="74"/>
    </row>
    <row r="24" spans="2:15" x14ac:dyDescent="0.2">
      <c r="B24" s="11" t="s">
        <v>16</v>
      </c>
      <c r="C24" s="73">
        <v>1892</v>
      </c>
      <c r="D24" s="74"/>
    </row>
    <row r="25" spans="2:15" x14ac:dyDescent="0.2">
      <c r="B25" s="11" t="s">
        <v>17</v>
      </c>
      <c r="C25" s="73">
        <v>2004</v>
      </c>
      <c r="D25" s="74"/>
      <c r="E25" s="1" t="s">
        <v>106</v>
      </c>
    </row>
    <row r="26" spans="2:15" x14ac:dyDescent="0.2">
      <c r="B26" s="11"/>
      <c r="C26" s="73"/>
      <c r="D26" s="74"/>
    </row>
    <row r="27" spans="2:15" x14ac:dyDescent="0.2">
      <c r="B27" s="11" t="s">
        <v>18</v>
      </c>
      <c r="C27" s="73">
        <f>+'Financial Model'!AD35</f>
        <v>237.5</v>
      </c>
      <c r="D27" s="74"/>
    </row>
    <row r="28" spans="2:15" x14ac:dyDescent="0.2">
      <c r="B28" s="11"/>
      <c r="C28" s="73"/>
      <c r="D28" s="74"/>
    </row>
    <row r="29" spans="2:15" x14ac:dyDescent="0.2">
      <c r="B29" s="11" t="s">
        <v>19</v>
      </c>
      <c r="C29" s="61" t="s">
        <v>54</v>
      </c>
      <c r="D29" s="62">
        <f>+'Financial Model'!AD14</f>
        <v>217.4</v>
      </c>
      <c r="F29" s="60"/>
    </row>
    <row r="30" spans="2:15" x14ac:dyDescent="0.2">
      <c r="B30" s="12" t="s">
        <v>13</v>
      </c>
      <c r="C30" s="79" t="s">
        <v>27</v>
      </c>
      <c r="D30" s="80"/>
    </row>
    <row r="33" spans="2:5" x14ac:dyDescent="0.2">
      <c r="B33" s="70" t="s">
        <v>20</v>
      </c>
      <c r="C33" s="71"/>
      <c r="D33" s="72"/>
    </row>
    <row r="34" spans="2:5" x14ac:dyDescent="0.2">
      <c r="B34" s="11" t="s">
        <v>21</v>
      </c>
      <c r="C34" s="75">
        <f>C6/'Financial Model'!AD62</f>
        <v>0.62652654387865669</v>
      </c>
      <c r="D34" s="76"/>
      <c r="E34" s="28"/>
    </row>
    <row r="35" spans="2:5" x14ac:dyDescent="0.2">
      <c r="B35" s="11" t="s">
        <v>22</v>
      </c>
      <c r="C35" s="75">
        <f>C8/'Financial Model'!AD4</f>
        <v>0.20595948285057469</v>
      </c>
      <c r="D35" s="76"/>
      <c r="E35" s="28"/>
    </row>
    <row r="36" spans="2:5" x14ac:dyDescent="0.2">
      <c r="B36" s="11" t="s">
        <v>25</v>
      </c>
      <c r="C36" s="75">
        <f>C12/'Financial Model'!AD4</f>
        <v>0.21155924707102858</v>
      </c>
      <c r="D36" s="76"/>
      <c r="E36" s="28"/>
    </row>
    <row r="37" spans="2:5" x14ac:dyDescent="0.2">
      <c r="B37" s="11" t="s">
        <v>23</v>
      </c>
      <c r="C37" s="75">
        <f>C6/'Financial Model'!AD13</f>
        <v>11.964496551724148</v>
      </c>
      <c r="D37" s="76"/>
      <c r="E37" s="28"/>
    </row>
    <row r="38" spans="2:5" x14ac:dyDescent="0.2">
      <c r="B38" s="11" t="s">
        <v>24</v>
      </c>
      <c r="C38" s="75">
        <f>C12/'Financial Model'!AD12</f>
        <v>12.376215953655182</v>
      </c>
      <c r="D38" s="76"/>
      <c r="E38" s="28"/>
    </row>
    <row r="39" spans="2:5" x14ac:dyDescent="0.2">
      <c r="B39" s="12" t="s">
        <v>104</v>
      </c>
      <c r="C39" s="77"/>
      <c r="D39" s="78"/>
    </row>
  </sheetData>
  <mergeCells count="22">
    <mergeCell ref="C36:D36"/>
    <mergeCell ref="C37:D37"/>
    <mergeCell ref="C38:D38"/>
    <mergeCell ref="C39:D39"/>
    <mergeCell ref="G5:O5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  <mergeCell ref="C19:D19"/>
    <mergeCell ref="B5:D5"/>
    <mergeCell ref="B15:D15"/>
    <mergeCell ref="C16:D16"/>
    <mergeCell ref="C17:D17"/>
    <mergeCell ref="C18:D18"/>
  </mergeCells>
  <hyperlinks>
    <hyperlink ref="C30:D30" r:id="rId1" display="Link" xr:uid="{07676FE1-E26A-AE4D-A21B-792EB2B848FD}"/>
  </hyperlinks>
  <pageMargins left="0.7" right="0.7" top="0.75" bottom="0.75" header="0.3" footer="0.3"/>
  <pageSetup paperSize="259" orientation="portrait" horizontalDpi="203" verticalDpi="203" r:id="rId2"/>
  <ignoredErrors>
    <ignoredError xmlns:x16r3="http://schemas.microsoft.com/office/spreadsheetml/2018/08/main" sqref="D29" x16r3:misleadingFormat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2FD5-5387-455B-8CDC-129D27EFA8D5}">
  <dimension ref="A1:CU87"/>
  <sheetViews>
    <sheetView tabSelected="1" workbookViewId="0">
      <pane xSplit="2" ySplit="3" topLeftCell="O4" activePane="bottomRight" state="frozen"/>
      <selection pane="topRight" activeCell="C1" sqref="C1"/>
      <selection pane="bottomLeft" activeCell="A4" sqref="A4"/>
      <selection pane="bottomRight" activeCell="AA23" sqref="AA23"/>
    </sheetView>
  </sheetViews>
  <sheetFormatPr defaultColWidth="9.140625" defaultRowHeight="12.75" x14ac:dyDescent="0.2"/>
  <cols>
    <col min="1" max="1" width="5" style="1" bestFit="1" customWidth="1"/>
    <col min="2" max="2" width="28.140625" style="1" bestFit="1" customWidth="1"/>
    <col min="3" max="3" width="5.28515625" style="1" bestFit="1" customWidth="1"/>
    <col min="4" max="4" width="9.140625" style="34"/>
    <col min="5" max="5" width="9.140625" style="1"/>
    <col min="6" max="6" width="9.140625" style="34"/>
    <col min="7" max="7" width="9.140625" style="1"/>
    <col min="8" max="8" width="9.140625" style="34"/>
    <col min="9" max="9" width="9.140625" style="1"/>
    <col min="10" max="10" width="9.140625" style="34"/>
    <col min="11" max="11" width="9.140625" style="1"/>
    <col min="12" max="12" width="9.140625" style="34"/>
    <col min="13" max="13" width="9.140625" style="1"/>
    <col min="14" max="14" width="9.140625" style="34"/>
    <col min="15" max="15" width="9.140625" style="1"/>
    <col min="16" max="16" width="9.140625" style="34"/>
    <col min="17" max="17" width="9.140625" style="1"/>
    <col min="18" max="18" width="9.140625" style="34"/>
    <col min="19" max="30" width="9.140625" style="1"/>
    <col min="31" max="37" width="9.140625" style="46"/>
    <col min="38" max="38" width="9.140625" style="1"/>
    <col min="39" max="39" width="12.7109375" style="1" bestFit="1" customWidth="1"/>
    <col min="40" max="16384" width="9.140625" style="1"/>
  </cols>
  <sheetData>
    <row r="1" spans="2:99" s="19" customFormat="1" x14ac:dyDescent="0.2">
      <c r="C1" s="19" t="s">
        <v>34</v>
      </c>
      <c r="D1" s="31" t="s">
        <v>35</v>
      </c>
      <c r="E1" s="19" t="s">
        <v>36</v>
      </c>
      <c r="F1" s="31" t="s">
        <v>37</v>
      </c>
      <c r="G1" s="19" t="s">
        <v>38</v>
      </c>
      <c r="H1" s="31" t="s">
        <v>39</v>
      </c>
      <c r="I1" s="19" t="s">
        <v>40</v>
      </c>
      <c r="J1" s="31" t="s">
        <v>41</v>
      </c>
      <c r="K1" s="19" t="s">
        <v>42</v>
      </c>
      <c r="L1" s="31" t="s">
        <v>43</v>
      </c>
      <c r="M1" s="19" t="s">
        <v>44</v>
      </c>
      <c r="N1" s="31" t="s">
        <v>45</v>
      </c>
      <c r="O1" s="24" t="s">
        <v>46</v>
      </c>
      <c r="P1" s="31" t="s">
        <v>47</v>
      </c>
      <c r="Q1" s="19" t="s">
        <v>120</v>
      </c>
      <c r="R1" s="31" t="s">
        <v>121</v>
      </c>
      <c r="U1" s="19" t="s">
        <v>110</v>
      </c>
      <c r="V1" s="24" t="s">
        <v>109</v>
      </c>
      <c r="W1" s="19" t="s">
        <v>108</v>
      </c>
      <c r="X1" s="24" t="s">
        <v>48</v>
      </c>
      <c r="Y1" s="19" t="s">
        <v>49</v>
      </c>
      <c r="Z1" s="24" t="s">
        <v>50</v>
      </c>
      <c r="AA1" s="19" t="s">
        <v>51</v>
      </c>
      <c r="AB1" s="24" t="s">
        <v>52</v>
      </c>
      <c r="AC1" s="24" t="s">
        <v>53</v>
      </c>
      <c r="AD1" s="24" t="s">
        <v>54</v>
      </c>
      <c r="AE1" s="42" t="s">
        <v>55</v>
      </c>
      <c r="AF1" s="42" t="s">
        <v>56</v>
      </c>
      <c r="AG1" s="42" t="s">
        <v>57</v>
      </c>
      <c r="AH1" s="42" t="s">
        <v>58</v>
      </c>
      <c r="AI1" s="42" t="s">
        <v>59</v>
      </c>
      <c r="AJ1" s="42" t="s">
        <v>60</v>
      </c>
      <c r="AK1" s="42" t="s">
        <v>61</v>
      </c>
    </row>
    <row r="2" spans="2:99" s="21" customFormat="1" x14ac:dyDescent="0.2">
      <c r="B2" s="20"/>
      <c r="D2" s="32"/>
      <c r="F2" s="32"/>
      <c r="H2" s="32"/>
      <c r="I2" s="23">
        <v>44106</v>
      </c>
      <c r="J2" s="36">
        <v>44288</v>
      </c>
      <c r="K2" s="23">
        <v>44470</v>
      </c>
      <c r="L2" s="32"/>
      <c r="M2" s="23">
        <v>44834</v>
      </c>
      <c r="N2" s="36">
        <f>AC2</f>
        <v>45016</v>
      </c>
      <c r="O2" s="23">
        <v>45198</v>
      </c>
      <c r="P2" s="32"/>
      <c r="R2" s="32"/>
      <c r="U2" s="23">
        <v>42097</v>
      </c>
      <c r="V2" s="23">
        <v>42461</v>
      </c>
      <c r="W2" s="23">
        <v>42825</v>
      </c>
      <c r="X2" s="23">
        <v>43189</v>
      </c>
      <c r="Y2" s="23">
        <v>43553</v>
      </c>
      <c r="Z2" s="23">
        <v>43924</v>
      </c>
      <c r="AA2" s="23">
        <v>44288</v>
      </c>
      <c r="AB2" s="23">
        <v>44652</v>
      </c>
      <c r="AC2" s="23">
        <v>45016</v>
      </c>
      <c r="AD2" s="23">
        <v>45380</v>
      </c>
      <c r="AE2" s="43"/>
      <c r="AF2" s="43"/>
      <c r="AG2" s="43"/>
      <c r="AH2" s="43"/>
      <c r="AI2" s="43"/>
      <c r="AJ2" s="43"/>
      <c r="AK2" s="43"/>
    </row>
    <row r="3" spans="2:99" s="21" customFormat="1" x14ac:dyDescent="0.2">
      <c r="B3" s="20"/>
      <c r="D3" s="32"/>
      <c r="F3" s="32"/>
      <c r="H3" s="32"/>
      <c r="J3" s="32"/>
      <c r="K3" s="22">
        <v>44510</v>
      </c>
      <c r="L3" s="32"/>
      <c r="M3" s="22">
        <v>44868</v>
      </c>
      <c r="N3" s="32"/>
      <c r="O3" s="66">
        <v>45259</v>
      </c>
      <c r="P3" s="32"/>
      <c r="R3" s="32"/>
      <c r="V3" s="22">
        <v>42522</v>
      </c>
      <c r="Z3" s="22"/>
      <c r="AB3" s="22">
        <v>44728</v>
      </c>
      <c r="AC3" s="22"/>
      <c r="AD3" s="22">
        <v>45470</v>
      </c>
      <c r="AE3" s="43"/>
      <c r="AF3" s="43"/>
      <c r="AG3" s="43"/>
      <c r="AH3" s="43"/>
      <c r="AI3" s="43"/>
      <c r="AJ3" s="43"/>
      <c r="AK3" s="43"/>
    </row>
    <row r="4" spans="2:99" s="2" customFormat="1" x14ac:dyDescent="0.2">
      <c r="B4" s="2" t="s">
        <v>64</v>
      </c>
      <c r="D4" s="33"/>
      <c r="F4" s="33"/>
      <c r="H4" s="33"/>
      <c r="J4" s="33"/>
      <c r="L4" s="33"/>
      <c r="M4" s="2">
        <v>767.1</v>
      </c>
      <c r="N4" s="81">
        <f>AC4-M4</f>
        <v>805.6</v>
      </c>
      <c r="O4" s="2">
        <v>873.5</v>
      </c>
      <c r="P4" s="33"/>
      <c r="R4" s="33"/>
      <c r="U4" s="25">
        <v>1025.4000000000001</v>
      </c>
      <c r="V4" s="25">
        <v>1021.5</v>
      </c>
      <c r="W4" s="25">
        <v>1095</v>
      </c>
      <c r="X4" s="25">
        <v>1135.0999999999999</v>
      </c>
      <c r="Y4" s="25">
        <v>1138.5999999999999</v>
      </c>
      <c r="Z4" s="25">
        <v>1155.0999999999999</v>
      </c>
      <c r="AA4" s="25">
        <v>1292.3</v>
      </c>
      <c r="AB4" s="25">
        <v>1369.6</v>
      </c>
      <c r="AC4" s="25">
        <v>1572.7</v>
      </c>
      <c r="AD4" s="25">
        <v>1696.5</v>
      </c>
      <c r="AE4" s="44">
        <f t="shared" ref="AE4:AK4" si="0">AD4*(1+AE16)</f>
        <v>1713.4649999999999</v>
      </c>
      <c r="AF4" s="44">
        <f t="shared" si="0"/>
        <v>1747.7342999999998</v>
      </c>
      <c r="AG4" s="44">
        <f t="shared" si="0"/>
        <v>1782.6889859999999</v>
      </c>
      <c r="AH4" s="44">
        <f t="shared" si="0"/>
        <v>1818.34276572</v>
      </c>
      <c r="AI4" s="44">
        <f t="shared" si="0"/>
        <v>1854.7096210344</v>
      </c>
      <c r="AJ4" s="44">
        <f t="shared" si="0"/>
        <v>1891.8038134550879</v>
      </c>
      <c r="AK4" s="44">
        <f t="shared" si="0"/>
        <v>1929.6398897241897</v>
      </c>
    </row>
    <row r="5" spans="2:99" x14ac:dyDescent="0.2">
      <c r="B5" s="1" t="s">
        <v>65</v>
      </c>
      <c r="M5" s="1">
        <v>384.6</v>
      </c>
      <c r="N5" s="35">
        <f>AC5-M5</f>
        <v>419.4</v>
      </c>
      <c r="O5" s="1">
        <v>456.2</v>
      </c>
      <c r="U5" s="17">
        <v>479.1</v>
      </c>
      <c r="V5" s="17">
        <v>478.4</v>
      </c>
      <c r="W5" s="17">
        <v>536.4</v>
      </c>
      <c r="X5" s="17">
        <v>564.9</v>
      </c>
      <c r="Y5" s="17">
        <v>559.6</v>
      </c>
      <c r="Z5" s="17">
        <v>565.4</v>
      </c>
      <c r="AA5" s="17">
        <v>636</v>
      </c>
      <c r="AB5" s="17">
        <v>647.9</v>
      </c>
      <c r="AC5" s="17">
        <v>804</v>
      </c>
      <c r="AD5" s="17">
        <v>873.9</v>
      </c>
      <c r="AE5" s="45">
        <f t="shared" ref="AE5:AK5" si="1">AE4*(1-AE19)</f>
        <v>805.32854999999995</v>
      </c>
      <c r="AF5" s="45">
        <f t="shared" si="1"/>
        <v>821.43512099999987</v>
      </c>
      <c r="AG5" s="45">
        <f t="shared" si="1"/>
        <v>837.8638234199999</v>
      </c>
      <c r="AH5" s="45">
        <f t="shared" si="1"/>
        <v>854.62109988839995</v>
      </c>
      <c r="AI5" s="45">
        <f t="shared" si="1"/>
        <v>871.713521886168</v>
      </c>
      <c r="AJ5" s="45">
        <f t="shared" si="1"/>
        <v>889.14779232389128</v>
      </c>
      <c r="AK5" s="45">
        <f t="shared" si="1"/>
        <v>906.93074817036916</v>
      </c>
    </row>
    <row r="6" spans="2:99" s="2" customFormat="1" x14ac:dyDescent="0.2">
      <c r="B6" s="2" t="s">
        <v>66</v>
      </c>
      <c r="D6" s="33"/>
      <c r="F6" s="33"/>
      <c r="H6" s="33"/>
      <c r="J6" s="33"/>
      <c r="L6" s="33"/>
      <c r="M6" s="2">
        <f>M4-M5</f>
        <v>382.5</v>
      </c>
      <c r="N6" s="33">
        <f>N4-N5</f>
        <v>386.20000000000005</v>
      </c>
      <c r="O6" s="2">
        <f>O4-O5</f>
        <v>417.3</v>
      </c>
      <c r="P6" s="33"/>
      <c r="R6" s="33"/>
      <c r="U6" s="25">
        <f t="shared" ref="U6:X6" si="2">U4-U5</f>
        <v>546.30000000000007</v>
      </c>
      <c r="V6" s="25">
        <f t="shared" si="2"/>
        <v>543.1</v>
      </c>
      <c r="W6" s="25">
        <f t="shared" si="2"/>
        <v>558.6</v>
      </c>
      <c r="X6" s="25">
        <f t="shared" si="2"/>
        <v>570.19999999999993</v>
      </c>
      <c r="Y6" s="25">
        <f>Y4-Y5</f>
        <v>578.99999999999989</v>
      </c>
      <c r="Z6" s="25">
        <f>Z4-Z5</f>
        <v>589.69999999999993</v>
      </c>
      <c r="AA6" s="25">
        <f>AA4-AA5</f>
        <v>656.3</v>
      </c>
      <c r="AB6" s="25">
        <f>AB4-AB5</f>
        <v>721.69999999999993</v>
      </c>
      <c r="AC6" s="25">
        <f>AC4-AC5</f>
        <v>768.7</v>
      </c>
      <c r="AD6" s="25">
        <f t="shared" ref="AD6:AK6" si="3">AD4-AD5</f>
        <v>822.6</v>
      </c>
      <c r="AE6" s="25">
        <f t="shared" si="3"/>
        <v>908.13644999999997</v>
      </c>
      <c r="AF6" s="25">
        <f t="shared" si="3"/>
        <v>926.29917899999998</v>
      </c>
      <c r="AG6" s="25">
        <f t="shared" si="3"/>
        <v>944.82516257999998</v>
      </c>
      <c r="AH6" s="25">
        <f t="shared" si="3"/>
        <v>963.72166583160003</v>
      </c>
      <c r="AI6" s="25">
        <f t="shared" si="3"/>
        <v>982.99609914823202</v>
      </c>
      <c r="AJ6" s="25">
        <f t="shared" si="3"/>
        <v>1002.6560211311967</v>
      </c>
      <c r="AK6" s="25">
        <f t="shared" si="3"/>
        <v>1022.7091415538206</v>
      </c>
    </row>
    <row r="7" spans="2:99" x14ac:dyDescent="0.2">
      <c r="B7" s="1" t="s">
        <v>67</v>
      </c>
      <c r="M7" s="1">
        <f>358.7-0.3</f>
        <v>358.4</v>
      </c>
      <c r="N7" s="35">
        <f>AC7-M7</f>
        <v>359.20000000000005</v>
      </c>
      <c r="O7" s="1">
        <f>389.7+2</f>
        <v>391.7</v>
      </c>
      <c r="U7" s="17">
        <v>459</v>
      </c>
      <c r="V7" s="17">
        <v>460.3</v>
      </c>
      <c r="W7" s="17">
        <v>484.9</v>
      </c>
      <c r="X7" s="17">
        <v>500.4</v>
      </c>
      <c r="Y7" s="17">
        <v>524.6</v>
      </c>
      <c r="Z7" s="17">
        <v>556.70000000000005</v>
      </c>
      <c r="AA7" s="17">
        <v>576.79999999999995</v>
      </c>
      <c r="AB7" s="17">
        <v>613.79999999999995</v>
      </c>
      <c r="AC7" s="17">
        <v>717.6</v>
      </c>
      <c r="AD7" s="17">
        <v>770.7</v>
      </c>
      <c r="AE7" s="45">
        <f t="shared" ref="AE7" si="4">AD7*1.06</f>
        <v>816.94200000000012</v>
      </c>
      <c r="AF7" s="45">
        <f>AE7*1.03</f>
        <v>841.45026000000018</v>
      </c>
      <c r="AG7" s="45">
        <f t="shared" ref="AG7:AK7" si="5">AF7*1.03</f>
        <v>866.69376780000016</v>
      </c>
      <c r="AH7" s="45">
        <f t="shared" si="5"/>
        <v>892.69458083400013</v>
      </c>
      <c r="AI7" s="45">
        <f t="shared" si="5"/>
        <v>919.47541825902022</v>
      </c>
      <c r="AJ7" s="45">
        <f t="shared" si="5"/>
        <v>947.05968080679088</v>
      </c>
      <c r="AK7" s="45">
        <f t="shared" si="5"/>
        <v>975.47147123099467</v>
      </c>
    </row>
    <row r="8" spans="2:99" s="2" customFormat="1" x14ac:dyDescent="0.2">
      <c r="B8" s="2" t="s">
        <v>68</v>
      </c>
      <c r="D8" s="33"/>
      <c r="F8" s="33"/>
      <c r="H8" s="33"/>
      <c r="J8" s="33"/>
      <c r="L8" s="33"/>
      <c r="M8" s="2">
        <f>M6-M7</f>
        <v>24.100000000000023</v>
      </c>
      <c r="N8" s="33">
        <f>N6-N7</f>
        <v>27</v>
      </c>
      <c r="O8" s="2">
        <f>O6-O7</f>
        <v>25.600000000000023</v>
      </c>
      <c r="P8" s="33"/>
      <c r="R8" s="33"/>
      <c r="U8" s="25">
        <f t="shared" ref="U8:X8" si="6">U6-U7</f>
        <v>87.300000000000068</v>
      </c>
      <c r="V8" s="25">
        <f t="shared" si="6"/>
        <v>82.800000000000011</v>
      </c>
      <c r="W8" s="25">
        <f t="shared" si="6"/>
        <v>73.700000000000045</v>
      </c>
      <c r="X8" s="25">
        <f t="shared" si="6"/>
        <v>69.799999999999955</v>
      </c>
      <c r="Y8" s="25">
        <f>Y6-Y7</f>
        <v>54.399999999999864</v>
      </c>
      <c r="Z8" s="25">
        <f>Z6-Z7</f>
        <v>32.999999999999886</v>
      </c>
      <c r="AA8" s="25">
        <f>AA6-AA7</f>
        <v>79.5</v>
      </c>
      <c r="AB8" s="25">
        <f>AB6-AB7</f>
        <v>107.89999999999998</v>
      </c>
      <c r="AC8" s="25">
        <f>AC6-AC7</f>
        <v>51.100000000000023</v>
      </c>
      <c r="AD8" s="25">
        <f t="shared" ref="AD8:AK8" si="7">AD6-AD7</f>
        <v>51.899999999999977</v>
      </c>
      <c r="AE8" s="25">
        <f t="shared" si="7"/>
        <v>91.194449999999847</v>
      </c>
      <c r="AF8" s="25">
        <f t="shared" si="7"/>
        <v>84.848918999999796</v>
      </c>
      <c r="AG8" s="25">
        <f t="shared" si="7"/>
        <v>78.131394779999823</v>
      </c>
      <c r="AH8" s="25">
        <f t="shared" si="7"/>
        <v>71.0270849975999</v>
      </c>
      <c r="AI8" s="25">
        <f t="shared" si="7"/>
        <v>63.520680889211803</v>
      </c>
      <c r="AJ8" s="25">
        <f t="shared" si="7"/>
        <v>55.596340324405787</v>
      </c>
      <c r="AK8" s="25">
        <f t="shared" si="7"/>
        <v>47.23767032282592</v>
      </c>
    </row>
    <row r="9" spans="2:99" x14ac:dyDescent="0.2">
      <c r="B9" s="1" t="s">
        <v>69</v>
      </c>
      <c r="M9" s="1">
        <v>5.4</v>
      </c>
      <c r="N9" s="35">
        <f>AC9-M9</f>
        <v>6.6999999999999993</v>
      </c>
      <c r="O9" s="1">
        <v>6.3</v>
      </c>
      <c r="U9" s="17">
        <v>3.5</v>
      </c>
      <c r="V9" s="17">
        <v>3</v>
      </c>
      <c r="W9" s="17">
        <v>2.2999999999999998</v>
      </c>
      <c r="X9" s="17">
        <v>2.7</v>
      </c>
      <c r="Y9" s="17">
        <v>3.4</v>
      </c>
      <c r="Z9" s="17">
        <f>13.9-0.3</f>
        <v>13.6</v>
      </c>
      <c r="AA9" s="17">
        <v>15</v>
      </c>
      <c r="AB9" s="17">
        <v>11.3</v>
      </c>
      <c r="AC9" s="17">
        <v>12.1</v>
      </c>
      <c r="AD9" s="17">
        <v>13.1</v>
      </c>
      <c r="AE9" s="45">
        <f>AVERAGE(Z9:AD9)</f>
        <v>13.020000000000001</v>
      </c>
      <c r="AF9" s="45">
        <f t="shared" ref="AF9:AK9" si="8">AVERAGE(AA9:AE9)</f>
        <v>12.904</v>
      </c>
      <c r="AG9" s="45">
        <f t="shared" si="8"/>
        <v>12.484800000000002</v>
      </c>
      <c r="AH9" s="45">
        <f t="shared" si="8"/>
        <v>12.72176</v>
      </c>
      <c r="AI9" s="45">
        <f t="shared" si="8"/>
        <v>12.846112</v>
      </c>
      <c r="AJ9" s="45">
        <f t="shared" si="8"/>
        <v>12.7953344</v>
      </c>
      <c r="AK9" s="45">
        <f t="shared" si="8"/>
        <v>12.750401280000002</v>
      </c>
    </row>
    <row r="10" spans="2:99" x14ac:dyDescent="0.2">
      <c r="B10" s="1" t="s">
        <v>70</v>
      </c>
      <c r="M10" s="1">
        <f>M8-M9</f>
        <v>18.700000000000024</v>
      </c>
      <c r="N10" s="34">
        <f>N8-N9</f>
        <v>20.3</v>
      </c>
      <c r="O10" s="1">
        <f>O8-O9</f>
        <v>19.300000000000022</v>
      </c>
      <c r="U10" s="17">
        <f t="shared" ref="U10:X10" si="9">U8-U9</f>
        <v>83.800000000000068</v>
      </c>
      <c r="V10" s="17">
        <f t="shared" si="9"/>
        <v>79.800000000000011</v>
      </c>
      <c r="W10" s="17">
        <f t="shared" si="9"/>
        <v>71.400000000000048</v>
      </c>
      <c r="X10" s="17">
        <f t="shared" si="9"/>
        <v>67.099999999999952</v>
      </c>
      <c r="Y10" s="17">
        <f>Y8-Y9</f>
        <v>50.999999999999865</v>
      </c>
      <c r="Z10" s="17">
        <f>Z8-Z9</f>
        <v>19.399999999999885</v>
      </c>
      <c r="AA10" s="17">
        <f>AA8-AA9</f>
        <v>64.5</v>
      </c>
      <c r="AB10" s="17">
        <f>AB8-AB9</f>
        <v>96.59999999999998</v>
      </c>
      <c r="AC10" s="17">
        <f>AC8-AC9</f>
        <v>39.000000000000021</v>
      </c>
      <c r="AD10" s="17">
        <f t="shared" ref="AD10:AK10" si="10">AD8-AD9</f>
        <v>38.799999999999976</v>
      </c>
      <c r="AE10" s="17">
        <f t="shared" si="10"/>
        <v>78.174449999999851</v>
      </c>
      <c r="AF10" s="17">
        <f t="shared" si="10"/>
        <v>71.9449189999998</v>
      </c>
      <c r="AG10" s="17">
        <f t="shared" si="10"/>
        <v>65.646594779999816</v>
      </c>
      <c r="AH10" s="17">
        <f t="shared" si="10"/>
        <v>58.305324997599897</v>
      </c>
      <c r="AI10" s="17">
        <f t="shared" si="10"/>
        <v>50.674568889211805</v>
      </c>
      <c r="AJ10" s="17">
        <f t="shared" si="10"/>
        <v>42.801005924405786</v>
      </c>
      <c r="AK10" s="17">
        <f t="shared" si="10"/>
        <v>34.487269042825915</v>
      </c>
    </row>
    <row r="11" spans="2:99" x14ac:dyDescent="0.2">
      <c r="B11" s="1" t="s">
        <v>71</v>
      </c>
      <c r="M11" s="1">
        <f>3.8+0.2</f>
        <v>4</v>
      </c>
      <c r="N11" s="35">
        <f>AC11-M11</f>
        <v>6.8999999999999986</v>
      </c>
      <c r="O11" s="1">
        <v>4.7</v>
      </c>
      <c r="U11" s="17">
        <v>18</v>
      </c>
      <c r="V11" s="17">
        <v>16.3</v>
      </c>
      <c r="W11" s="17">
        <v>15</v>
      </c>
      <c r="X11" s="17">
        <v>12.4</v>
      </c>
      <c r="Y11" s="17">
        <v>9.1</v>
      </c>
      <c r="Z11" s="17">
        <v>1.9</v>
      </c>
      <c r="AA11" s="17">
        <v>11.3</v>
      </c>
      <c r="AB11" s="17">
        <v>18.899999999999999</v>
      </c>
      <c r="AC11" s="17">
        <f>8.1+2.8</f>
        <v>10.899999999999999</v>
      </c>
      <c r="AD11" s="17">
        <v>9.8000000000000007</v>
      </c>
      <c r="AE11" s="45">
        <f t="shared" ref="AE11:AK11" si="11">AE10*AE22</f>
        <v>15.63488999999997</v>
      </c>
      <c r="AF11" s="45">
        <f t="shared" si="11"/>
        <v>14.388983799999961</v>
      </c>
      <c r="AG11" s="45">
        <f t="shared" si="11"/>
        <v>13.129318955999963</v>
      </c>
      <c r="AH11" s="45">
        <f t="shared" si="11"/>
        <v>11.661064999519979</v>
      </c>
      <c r="AI11" s="45">
        <f t="shared" si="11"/>
        <v>10.134913777842362</v>
      </c>
      <c r="AJ11" s="45">
        <f t="shared" si="11"/>
        <v>8.5602011848811568</v>
      </c>
      <c r="AK11" s="45">
        <f t="shared" si="11"/>
        <v>6.8974538085651833</v>
      </c>
    </row>
    <row r="12" spans="2:99" s="2" customFormat="1" x14ac:dyDescent="0.2">
      <c r="B12" s="2" t="s">
        <v>63</v>
      </c>
      <c r="D12" s="33"/>
      <c r="F12" s="33"/>
      <c r="H12" s="33"/>
      <c r="J12" s="33"/>
      <c r="L12" s="33"/>
      <c r="M12" s="2">
        <f>M10-M11</f>
        <v>14.700000000000024</v>
      </c>
      <c r="N12" s="33">
        <f>N10-N11</f>
        <v>13.400000000000002</v>
      </c>
      <c r="O12" s="2">
        <f>O10-O11</f>
        <v>14.600000000000023</v>
      </c>
      <c r="P12" s="33"/>
      <c r="R12" s="33"/>
      <c r="U12" s="25">
        <f t="shared" ref="U12:X12" si="12">U10-U11</f>
        <v>65.800000000000068</v>
      </c>
      <c r="V12" s="25">
        <f t="shared" si="12"/>
        <v>63.500000000000014</v>
      </c>
      <c r="W12" s="25">
        <f t="shared" si="12"/>
        <v>56.400000000000048</v>
      </c>
      <c r="X12" s="25">
        <f t="shared" si="12"/>
        <v>54.699999999999953</v>
      </c>
      <c r="Y12" s="25">
        <f>Y10-Y11</f>
        <v>41.899999999999864</v>
      </c>
      <c r="Z12" s="25">
        <f>Z10-Z11</f>
        <v>17.499999999999886</v>
      </c>
      <c r="AA12" s="25">
        <f>AA10-AA11</f>
        <v>53.2</v>
      </c>
      <c r="AB12" s="25">
        <f>AB10-AB11</f>
        <v>77.699999999999989</v>
      </c>
      <c r="AC12" s="25">
        <f>AC10-AC11</f>
        <v>28.100000000000023</v>
      </c>
      <c r="AD12" s="25">
        <f t="shared" ref="AD12:AK12" si="13">AD10-AD11</f>
        <v>28.999999999999975</v>
      </c>
      <c r="AE12" s="25">
        <f t="shared" si="13"/>
        <v>62.539559999999881</v>
      </c>
      <c r="AF12" s="25">
        <f t="shared" si="13"/>
        <v>57.555935199999837</v>
      </c>
      <c r="AG12" s="25">
        <f t="shared" si="13"/>
        <v>52.517275823999853</v>
      </c>
      <c r="AH12" s="25">
        <f t="shared" si="13"/>
        <v>46.644259998079917</v>
      </c>
      <c r="AI12" s="25">
        <f t="shared" si="13"/>
        <v>40.539655111369441</v>
      </c>
      <c r="AJ12" s="25">
        <f t="shared" si="13"/>
        <v>34.240804739524627</v>
      </c>
      <c r="AK12" s="25">
        <f t="shared" si="13"/>
        <v>27.589815234260733</v>
      </c>
      <c r="AL12" s="25">
        <f>AK12*(1+$AN$19)</f>
        <v>27.865713386603339</v>
      </c>
      <c r="AM12" s="25">
        <f t="shared" ref="AM12:CU12" si="14">AL12*(1+$AN$19)</f>
        <v>28.144370520469373</v>
      </c>
      <c r="AN12" s="25">
        <f t="shared" si="14"/>
        <v>28.425814225674067</v>
      </c>
      <c r="AO12" s="25">
        <f t="shared" si="14"/>
        <v>28.710072367930806</v>
      </c>
      <c r="AP12" s="25">
        <f t="shared" si="14"/>
        <v>28.997173091610115</v>
      </c>
      <c r="AQ12" s="25">
        <f t="shared" si="14"/>
        <v>29.287144822526216</v>
      </c>
      <c r="AR12" s="25">
        <f t="shared" si="14"/>
        <v>29.580016270751479</v>
      </c>
      <c r="AS12" s="25">
        <f t="shared" si="14"/>
        <v>29.875816433458994</v>
      </c>
      <c r="AT12" s="25">
        <f t="shared" si="14"/>
        <v>30.174574597793583</v>
      </c>
      <c r="AU12" s="25">
        <f t="shared" si="14"/>
        <v>30.476320343771519</v>
      </c>
      <c r="AV12" s="25">
        <f t="shared" si="14"/>
        <v>30.781083547209235</v>
      </c>
      <c r="AW12" s="25">
        <f t="shared" si="14"/>
        <v>31.088894382681328</v>
      </c>
      <c r="AX12" s="25">
        <f t="shared" si="14"/>
        <v>31.399783326508143</v>
      </c>
      <c r="AY12" s="25">
        <f t="shared" si="14"/>
        <v>31.713781159773223</v>
      </c>
      <c r="AZ12" s="25">
        <f t="shared" si="14"/>
        <v>32.030918971370959</v>
      </c>
      <c r="BA12" s="25">
        <f t="shared" si="14"/>
        <v>32.35122816108467</v>
      </c>
      <c r="BB12" s="25">
        <f t="shared" si="14"/>
        <v>32.674740442695516</v>
      </c>
      <c r="BC12" s="25">
        <f t="shared" si="14"/>
        <v>33.001487847122469</v>
      </c>
      <c r="BD12" s="25">
        <f t="shared" si="14"/>
        <v>33.331502725593694</v>
      </c>
      <c r="BE12" s="25">
        <f t="shared" si="14"/>
        <v>33.664817752849629</v>
      </c>
      <c r="BF12" s="25">
        <f t="shared" si="14"/>
        <v>34.001465930378124</v>
      </c>
      <c r="BG12" s="25">
        <f t="shared" si="14"/>
        <v>34.341480589681908</v>
      </c>
      <c r="BH12" s="25">
        <f t="shared" si="14"/>
        <v>34.684895395578728</v>
      </c>
      <c r="BI12" s="25">
        <f t="shared" si="14"/>
        <v>35.031744349534513</v>
      </c>
      <c r="BJ12" s="25">
        <f t="shared" si="14"/>
        <v>35.382061793029855</v>
      </c>
      <c r="BK12" s="25">
        <f t="shared" si="14"/>
        <v>35.735882410960151</v>
      </c>
      <c r="BL12" s="25">
        <f t="shared" si="14"/>
        <v>36.093241235069755</v>
      </c>
      <c r="BM12" s="25">
        <f t="shared" si="14"/>
        <v>36.454173647420454</v>
      </c>
      <c r="BN12" s="25">
        <f t="shared" si="14"/>
        <v>36.818715383894656</v>
      </c>
      <c r="BO12" s="25">
        <f t="shared" si="14"/>
        <v>37.186902537733602</v>
      </c>
      <c r="BP12" s="25">
        <f t="shared" si="14"/>
        <v>37.558771563110938</v>
      </c>
      <c r="BQ12" s="25">
        <f t="shared" si="14"/>
        <v>37.93435927874205</v>
      </c>
      <c r="BR12" s="25">
        <f t="shared" si="14"/>
        <v>38.313702871529472</v>
      </c>
      <c r="BS12" s="25">
        <f t="shared" si="14"/>
        <v>38.696839900244768</v>
      </c>
      <c r="BT12" s="25">
        <f t="shared" si="14"/>
        <v>39.083808299247217</v>
      </c>
      <c r="BU12" s="25">
        <f t="shared" si="14"/>
        <v>39.47464638223969</v>
      </c>
      <c r="BV12" s="25">
        <f t="shared" si="14"/>
        <v>39.869392846062091</v>
      </c>
      <c r="BW12" s="25">
        <f t="shared" si="14"/>
        <v>40.268086774522715</v>
      </c>
      <c r="BX12" s="25">
        <f t="shared" si="14"/>
        <v>40.67076764226794</v>
      </c>
      <c r="BY12" s="25">
        <f t="shared" si="14"/>
        <v>41.077475318690617</v>
      </c>
      <c r="BZ12" s="25">
        <f t="shared" si="14"/>
        <v>41.488250071877523</v>
      </c>
      <c r="CA12" s="25">
        <f t="shared" si="14"/>
        <v>41.903132572596299</v>
      </c>
      <c r="CB12" s="25">
        <f t="shared" si="14"/>
        <v>42.322163898322259</v>
      </c>
      <c r="CC12" s="25">
        <f t="shared" si="14"/>
        <v>42.745385537305481</v>
      </c>
      <c r="CD12" s="25">
        <f t="shared" si="14"/>
        <v>43.172839392678533</v>
      </c>
      <c r="CE12" s="25">
        <f t="shared" si="14"/>
        <v>43.604567786605315</v>
      </c>
      <c r="CF12" s="25">
        <f t="shared" si="14"/>
        <v>44.04061346447137</v>
      </c>
      <c r="CG12" s="25">
        <f t="shared" si="14"/>
        <v>44.481019599116081</v>
      </c>
      <c r="CH12" s="25">
        <f t="shared" si="14"/>
        <v>44.925829795107241</v>
      </c>
      <c r="CI12" s="25">
        <f t="shared" si="14"/>
        <v>45.375088093058316</v>
      </c>
      <c r="CJ12" s="25">
        <f t="shared" si="14"/>
        <v>45.828838973988901</v>
      </c>
      <c r="CK12" s="25">
        <f t="shared" si="14"/>
        <v>46.287127363728793</v>
      </c>
      <c r="CL12" s="25">
        <f t="shared" si="14"/>
        <v>46.749998637366083</v>
      </c>
      <c r="CM12" s="25">
        <f t="shared" si="14"/>
        <v>47.217498623739743</v>
      </c>
      <c r="CN12" s="25">
        <f t="shared" si="14"/>
        <v>47.689673609977142</v>
      </c>
      <c r="CO12" s="25">
        <f t="shared" si="14"/>
        <v>48.166570346076917</v>
      </c>
      <c r="CP12" s="25">
        <f t="shared" si="14"/>
        <v>48.648236049537687</v>
      </c>
      <c r="CQ12" s="25">
        <f t="shared" si="14"/>
        <v>49.134718410033067</v>
      </c>
      <c r="CR12" s="25">
        <f t="shared" si="14"/>
        <v>49.626065594133401</v>
      </c>
      <c r="CS12" s="25">
        <f t="shared" si="14"/>
        <v>50.122326250074735</v>
      </c>
      <c r="CT12" s="25">
        <f t="shared" si="14"/>
        <v>50.623549512575487</v>
      </c>
      <c r="CU12" s="25">
        <f t="shared" si="14"/>
        <v>51.129785007701244</v>
      </c>
    </row>
    <row r="13" spans="2:99" s="26" customFormat="1" x14ac:dyDescent="0.2">
      <c r="B13" s="26" t="s">
        <v>62</v>
      </c>
      <c r="D13" s="67"/>
      <c r="F13" s="67"/>
      <c r="H13" s="67"/>
      <c r="J13" s="67"/>
      <c r="L13" s="67"/>
      <c r="M13" s="26">
        <f>M12/M14</f>
        <v>6.5566458519179416E-2</v>
      </c>
      <c r="N13" s="67">
        <f>N12/N14</f>
        <v>6.1637534498620063E-2</v>
      </c>
      <c r="O13" s="26">
        <f>O12/O14</f>
        <v>6.4345526663728614E-2</v>
      </c>
      <c r="P13" s="67"/>
      <c r="R13" s="67"/>
      <c r="U13" s="26">
        <f t="shared" ref="U13:W13" si="15">U12/U14</f>
        <v>0.33333333333333365</v>
      </c>
      <c r="V13" s="26">
        <f t="shared" si="15"/>
        <v>0.32348446255731028</v>
      </c>
      <c r="W13" s="26">
        <f t="shared" si="15"/>
        <v>0.28614916286149189</v>
      </c>
      <c r="X13" s="26">
        <f t="shared" ref="X13" si="16">X12/X14</f>
        <v>0.2754279959718024</v>
      </c>
      <c r="Y13" s="26">
        <f t="shared" ref="Y13:AD13" si="17">Y12/Y14</f>
        <v>0.21044701155198325</v>
      </c>
      <c r="Z13" s="26">
        <f t="shared" si="17"/>
        <v>8.7895529884479587E-2</v>
      </c>
      <c r="AA13" s="26">
        <f t="shared" si="17"/>
        <v>0.26720241084881974</v>
      </c>
      <c r="AB13" s="26">
        <f t="shared" si="17"/>
        <v>0.37773456490034024</v>
      </c>
      <c r="AC13" s="26">
        <f t="shared" si="17"/>
        <v>0.12925482980680783</v>
      </c>
      <c r="AD13" s="26">
        <f t="shared" si="17"/>
        <v>0.13339466421343135</v>
      </c>
      <c r="AE13" s="52">
        <f t="shared" ref="AE13:AK13" si="18">AE12/AE14</f>
        <v>0.28767046918123218</v>
      </c>
      <c r="AF13" s="52">
        <f t="shared" si="18"/>
        <v>0.26474671205151717</v>
      </c>
      <c r="AG13" s="52">
        <f t="shared" si="18"/>
        <v>0.24156980599815939</v>
      </c>
      <c r="AH13" s="52">
        <f t="shared" si="18"/>
        <v>0.21455501379061598</v>
      </c>
      <c r="AI13" s="52">
        <f t="shared" si="18"/>
        <v>0.18647495451411886</v>
      </c>
      <c r="AJ13" s="52">
        <f t="shared" si="18"/>
        <v>0.15750140174574345</v>
      </c>
      <c r="AK13" s="52">
        <f t="shared" si="18"/>
        <v>0.12690807375464919</v>
      </c>
    </row>
    <row r="14" spans="2:99" x14ac:dyDescent="0.2">
      <c r="B14" s="1" t="s">
        <v>4</v>
      </c>
      <c r="M14" s="1">
        <v>224.2</v>
      </c>
      <c r="N14" s="35">
        <f>AC14</f>
        <v>217.4</v>
      </c>
      <c r="O14" s="1">
        <v>226.9</v>
      </c>
      <c r="U14" s="1">
        <v>197.4</v>
      </c>
      <c r="V14" s="1">
        <v>196.3</v>
      </c>
      <c r="W14" s="1">
        <v>197.1</v>
      </c>
      <c r="X14" s="1">
        <v>198.6</v>
      </c>
      <c r="Y14" s="1">
        <v>199.1</v>
      </c>
      <c r="Z14" s="1">
        <v>199.1</v>
      </c>
      <c r="AA14" s="1">
        <v>199.1</v>
      </c>
      <c r="AB14" s="17">
        <v>205.7</v>
      </c>
      <c r="AC14" s="17">
        <v>217.4</v>
      </c>
      <c r="AD14" s="17">
        <v>217.4</v>
      </c>
      <c r="AE14" s="45">
        <f t="shared" ref="AE14:AK14" si="19">AD14</f>
        <v>217.4</v>
      </c>
      <c r="AF14" s="45">
        <f t="shared" si="19"/>
        <v>217.4</v>
      </c>
      <c r="AG14" s="45">
        <f t="shared" si="19"/>
        <v>217.4</v>
      </c>
      <c r="AH14" s="45">
        <f t="shared" si="19"/>
        <v>217.4</v>
      </c>
      <c r="AI14" s="45">
        <f t="shared" si="19"/>
        <v>217.4</v>
      </c>
      <c r="AJ14" s="45">
        <f t="shared" si="19"/>
        <v>217.4</v>
      </c>
      <c r="AK14" s="45">
        <f t="shared" si="19"/>
        <v>217.4</v>
      </c>
    </row>
    <row r="16" spans="2:99" s="2" customFormat="1" x14ac:dyDescent="0.2">
      <c r="B16" s="2" t="s">
        <v>72</v>
      </c>
      <c r="D16" s="33"/>
      <c r="F16" s="33"/>
      <c r="H16" s="33"/>
      <c r="J16" s="33"/>
      <c r="L16" s="33"/>
      <c r="N16" s="33"/>
      <c r="O16" s="27">
        <f>O4/M4-1</f>
        <v>0.13870421066353789</v>
      </c>
      <c r="P16" s="33"/>
      <c r="R16" s="33"/>
      <c r="V16" s="27">
        <f t="shared" ref="V16" si="20">V4/U4-1</f>
        <v>-3.8033937975424648E-3</v>
      </c>
      <c r="W16" s="27">
        <f t="shared" ref="W16" si="21">W4/V4-1</f>
        <v>7.1953010279001361E-2</v>
      </c>
      <c r="X16" s="27">
        <f t="shared" ref="X16:Y16" si="22">X4/W4-1</f>
        <v>3.6621004566209869E-2</v>
      </c>
      <c r="Y16" s="27">
        <f t="shared" si="22"/>
        <v>3.0834287727954379E-3</v>
      </c>
      <c r="Z16" s="27">
        <f>Z4/Y4-1</f>
        <v>1.4491480765852716E-2</v>
      </c>
      <c r="AA16" s="27">
        <f>AA4/Z4-1</f>
        <v>0.11877759501341889</v>
      </c>
      <c r="AB16" s="27">
        <f>AB4/AA4-1</f>
        <v>5.9815832237096522E-2</v>
      </c>
      <c r="AC16" s="27">
        <v>0.05</v>
      </c>
      <c r="AD16" s="27">
        <v>0.05</v>
      </c>
      <c r="AE16" s="47">
        <v>0.01</v>
      </c>
      <c r="AF16" s="47">
        <v>0.02</v>
      </c>
      <c r="AG16" s="47">
        <v>0.02</v>
      </c>
      <c r="AH16" s="47">
        <v>0.02</v>
      </c>
      <c r="AI16" s="47">
        <v>0.02</v>
      </c>
      <c r="AJ16" s="47">
        <v>0.02</v>
      </c>
      <c r="AK16" s="47">
        <v>0.02</v>
      </c>
    </row>
    <row r="17" spans="2:40" s="28" customFormat="1" x14ac:dyDescent="0.2">
      <c r="B17" s="28" t="s">
        <v>73</v>
      </c>
      <c r="D17" s="39"/>
      <c r="F17" s="39"/>
      <c r="H17" s="39"/>
      <c r="J17" s="39"/>
      <c r="L17" s="39"/>
      <c r="N17" s="39">
        <f>N4/M4-1</f>
        <v>5.0189023595359039E-2</v>
      </c>
      <c r="O17" s="28">
        <f>O4/N4-1</f>
        <v>8.4285004965243271E-2</v>
      </c>
      <c r="P17" s="39"/>
      <c r="R17" s="39"/>
      <c r="U17" s="85" t="s">
        <v>78</v>
      </c>
      <c r="V17" s="85" t="s">
        <v>78</v>
      </c>
      <c r="W17" s="85" t="s">
        <v>78</v>
      </c>
      <c r="X17" s="85" t="s">
        <v>78</v>
      </c>
      <c r="Y17" s="85" t="s">
        <v>78</v>
      </c>
      <c r="Z17" s="85" t="s">
        <v>78</v>
      </c>
      <c r="AA17" s="85" t="s">
        <v>78</v>
      </c>
      <c r="AB17" s="85" t="s">
        <v>78</v>
      </c>
      <c r="AC17" s="85"/>
      <c r="AE17" s="49"/>
      <c r="AF17" s="49"/>
      <c r="AG17" s="49"/>
      <c r="AH17" s="49"/>
      <c r="AI17" s="49"/>
      <c r="AJ17" s="49"/>
      <c r="AK17" s="49"/>
    </row>
    <row r="19" spans="2:40" x14ac:dyDescent="0.2">
      <c r="B19" s="1" t="s">
        <v>74</v>
      </c>
      <c r="M19" s="28">
        <f>M6/M4</f>
        <v>0.49863120844739928</v>
      </c>
      <c r="N19" s="39">
        <f>N6/N4</f>
        <v>0.47939424031777561</v>
      </c>
      <c r="O19" s="28">
        <f>O6/O4</f>
        <v>0.47773325701202063</v>
      </c>
      <c r="U19" s="28">
        <f t="shared" ref="U19:V19" si="23">U6/U4</f>
        <v>0.53276770040959631</v>
      </c>
      <c r="V19" s="28">
        <f t="shared" si="23"/>
        <v>0.53166911404796868</v>
      </c>
      <c r="W19" s="28">
        <f t="shared" ref="W19:Y19" si="24">W6/W4</f>
        <v>0.51013698630136983</v>
      </c>
      <c r="X19" s="28">
        <f t="shared" si="24"/>
        <v>0.50233459607083075</v>
      </c>
      <c r="Y19" s="28">
        <f t="shared" si="24"/>
        <v>0.50851923414719824</v>
      </c>
      <c r="Z19" s="28">
        <f t="shared" ref="Z19:AA19" si="25">Z6/Z4</f>
        <v>0.51051856982079469</v>
      </c>
      <c r="AA19" s="28">
        <f t="shared" si="25"/>
        <v>0.50785421341793702</v>
      </c>
      <c r="AB19" s="28">
        <f>AB6/AB4</f>
        <v>0.52694217289719625</v>
      </c>
      <c r="AC19" s="28">
        <v>0.53</v>
      </c>
      <c r="AD19" s="28">
        <v>0.53</v>
      </c>
      <c r="AE19" s="49">
        <v>0.53</v>
      </c>
      <c r="AF19" s="49">
        <v>0.53</v>
      </c>
      <c r="AG19" s="49">
        <v>0.53</v>
      </c>
      <c r="AH19" s="49">
        <v>0.53</v>
      </c>
      <c r="AI19" s="49">
        <v>0.53</v>
      </c>
      <c r="AJ19" s="49">
        <v>0.53</v>
      </c>
      <c r="AK19" s="49">
        <v>0.53</v>
      </c>
      <c r="AM19" s="53" t="s">
        <v>112</v>
      </c>
      <c r="AN19" s="54">
        <v>0.01</v>
      </c>
    </row>
    <row r="20" spans="2:40" x14ac:dyDescent="0.2">
      <c r="B20" s="1" t="s">
        <v>75</v>
      </c>
      <c r="M20" s="28">
        <f>M8/M4</f>
        <v>3.1417025159692379E-2</v>
      </c>
      <c r="N20" s="39">
        <f>N8/N4</f>
        <v>3.3515392254220455E-2</v>
      </c>
      <c r="O20" s="28">
        <f>O8/O4</f>
        <v>2.9307384087006321E-2</v>
      </c>
      <c r="U20" s="28">
        <f t="shared" ref="U20:V20" si="26">U8/U4</f>
        <v>8.5137507314218902E-2</v>
      </c>
      <c r="V20" s="28">
        <f t="shared" si="26"/>
        <v>8.1057268722466977E-2</v>
      </c>
      <c r="W20" s="28">
        <f t="shared" ref="W20:Y20" si="27">W8/W4</f>
        <v>6.7305936073059403E-2</v>
      </c>
      <c r="X20" s="28">
        <f t="shared" si="27"/>
        <v>6.1492379526032911E-2</v>
      </c>
      <c r="Y20" s="28">
        <f t="shared" si="27"/>
        <v>4.7777972949235789E-2</v>
      </c>
      <c r="Z20" s="28">
        <f t="shared" ref="Z20:AA20" si="28">Z8/Z4</f>
        <v>2.8568955068825112E-2</v>
      </c>
      <c r="AA20" s="28">
        <f t="shared" si="28"/>
        <v>6.1518223322757873E-2</v>
      </c>
      <c r="AB20" s="28">
        <f>AB8/AB4</f>
        <v>7.878212616822429E-2</v>
      </c>
      <c r="AC20" s="28">
        <f>AC8/AC4</f>
        <v>3.2491892922998679E-2</v>
      </c>
      <c r="AD20" s="28">
        <f t="shared" ref="AD20:AK20" si="29">AD8/AD4</f>
        <v>3.0592396109637477E-2</v>
      </c>
      <c r="AE20" s="28">
        <f t="shared" si="29"/>
        <v>5.3222242648667963E-2</v>
      </c>
      <c r="AF20" s="28">
        <f t="shared" si="29"/>
        <v>4.8547950909929388E-2</v>
      </c>
      <c r="AG20" s="28">
        <f t="shared" si="29"/>
        <v>4.3827832781595383E-2</v>
      </c>
      <c r="AH20" s="28">
        <f t="shared" si="29"/>
        <v>3.9061438985336552E-2</v>
      </c>
      <c r="AI20" s="28">
        <f t="shared" si="29"/>
        <v>3.4248315838133918E-2</v>
      </c>
      <c r="AJ20" s="28">
        <f t="shared" si="29"/>
        <v>2.9388005209095992E-2</v>
      </c>
      <c r="AK20" s="28">
        <f t="shared" si="29"/>
        <v>2.4480044475851795E-2</v>
      </c>
      <c r="AM20" s="13" t="s">
        <v>113</v>
      </c>
      <c r="AN20" s="55">
        <v>0.08</v>
      </c>
    </row>
    <row r="21" spans="2:40" x14ac:dyDescent="0.2">
      <c r="B21" s="1" t="s">
        <v>76</v>
      </c>
      <c r="M21" s="28">
        <f>M12/M4</f>
        <v>1.9163081736409886E-2</v>
      </c>
      <c r="N21" s="39">
        <f>N12/N4</f>
        <v>1.6633565044687191E-2</v>
      </c>
      <c r="O21" s="28">
        <f>O12/O4</f>
        <v>1.6714367487120803E-2</v>
      </c>
      <c r="U21" s="28">
        <f t="shared" ref="U21:V21" si="30">U12/U4</f>
        <v>6.4170079968792731E-2</v>
      </c>
      <c r="V21" s="28">
        <f t="shared" si="30"/>
        <v>6.2163485070974071E-2</v>
      </c>
      <c r="W21" s="28">
        <f t="shared" ref="W21:Y21" si="31">W12/W4</f>
        <v>5.1506849315068534E-2</v>
      </c>
      <c r="X21" s="28">
        <f t="shared" si="31"/>
        <v>4.818958682054441E-2</v>
      </c>
      <c r="Y21" s="28">
        <f t="shared" si="31"/>
        <v>3.6799578429650329E-2</v>
      </c>
      <c r="Z21" s="28">
        <f t="shared" ref="Z21:AA21" si="32">Z12/Z4</f>
        <v>1.5150203445589028E-2</v>
      </c>
      <c r="AA21" s="28">
        <f t="shared" si="32"/>
        <v>4.1166911707807785E-2</v>
      </c>
      <c r="AB21" s="28">
        <f>AB12/AB4</f>
        <v>5.6731892523364483E-2</v>
      </c>
      <c r="AC21" s="28">
        <f>AC12/AC4</f>
        <v>1.7867361861766403E-2</v>
      </c>
      <c r="AD21" s="28">
        <f t="shared" ref="AD21:AK21" si="33">AD12/AD4</f>
        <v>1.7094017094017078E-2</v>
      </c>
      <c r="AE21" s="28">
        <f t="shared" si="33"/>
        <v>3.6498883840638638E-2</v>
      </c>
      <c r="AF21" s="28">
        <f t="shared" si="33"/>
        <v>3.2931742084594803E-2</v>
      </c>
      <c r="AG21" s="28">
        <f t="shared" si="33"/>
        <v>2.9459583941132766E-2</v>
      </c>
      <c r="AH21" s="28">
        <f t="shared" si="33"/>
        <v>2.5652072248111276E-2</v>
      </c>
      <c r="AI21" s="28">
        <f t="shared" si="33"/>
        <v>2.1857683085053418E-2</v>
      </c>
      <c r="AJ21" s="28">
        <f t="shared" si="33"/>
        <v>1.8099553714816273E-2</v>
      </c>
      <c r="AK21" s="28">
        <f t="shared" si="33"/>
        <v>1.4297908838422822E-2</v>
      </c>
      <c r="AM21" s="13" t="s">
        <v>114</v>
      </c>
      <c r="AN21" s="56">
        <f>NPV(AN20,AC12:CU12)</f>
        <v>459.93948504604202</v>
      </c>
    </row>
    <row r="22" spans="2:40" x14ac:dyDescent="0.2">
      <c r="B22" s="1" t="s">
        <v>77</v>
      </c>
      <c r="M22" s="28">
        <f>M11/M10</f>
        <v>0.21390374331550774</v>
      </c>
      <c r="N22" s="39">
        <f>N11/N10</f>
        <v>0.33990147783251223</v>
      </c>
      <c r="O22" s="28">
        <f>O11/O10</f>
        <v>0.24352331606217589</v>
      </c>
      <c r="U22" s="28">
        <f t="shared" ref="U22:V22" si="34">U11/U10</f>
        <v>0.21479713603818598</v>
      </c>
      <c r="V22" s="28">
        <f t="shared" si="34"/>
        <v>0.20426065162907267</v>
      </c>
      <c r="W22" s="28">
        <f t="shared" ref="W22:Y22" si="35">W11/W10</f>
        <v>0.21008403361344524</v>
      </c>
      <c r="X22" s="28">
        <f t="shared" si="35"/>
        <v>0.18479880774962756</v>
      </c>
      <c r="Y22" s="28">
        <f t="shared" si="35"/>
        <v>0.17843137254902008</v>
      </c>
      <c r="Z22" s="28">
        <f t="shared" ref="Z22:AA22" si="36">Z11/Z10</f>
        <v>9.7938144329897489E-2</v>
      </c>
      <c r="AA22" s="28">
        <f t="shared" si="36"/>
        <v>0.17519379844961241</v>
      </c>
      <c r="AB22" s="28">
        <f>AB11/AB10</f>
        <v>0.19565217391304351</v>
      </c>
      <c r="AC22" s="28">
        <v>0.2</v>
      </c>
      <c r="AD22" s="28">
        <f>AC22</f>
        <v>0.2</v>
      </c>
      <c r="AE22" s="49">
        <f t="shared" ref="AE22:AK22" si="37">AD22</f>
        <v>0.2</v>
      </c>
      <c r="AF22" s="49">
        <f t="shared" si="37"/>
        <v>0.2</v>
      </c>
      <c r="AG22" s="49">
        <f t="shared" si="37"/>
        <v>0.2</v>
      </c>
      <c r="AH22" s="49">
        <f t="shared" si="37"/>
        <v>0.2</v>
      </c>
      <c r="AI22" s="49">
        <f t="shared" si="37"/>
        <v>0.2</v>
      </c>
      <c r="AJ22" s="49">
        <f t="shared" si="37"/>
        <v>0.2</v>
      </c>
      <c r="AK22" s="49">
        <f t="shared" si="37"/>
        <v>0.2</v>
      </c>
      <c r="AM22" s="13" t="s">
        <v>8</v>
      </c>
      <c r="AN22" s="56">
        <f>Main!C11</f>
        <v>-9.5000000000000036</v>
      </c>
    </row>
    <row r="23" spans="2:40" x14ac:dyDescent="0.2">
      <c r="AM23" s="13" t="s">
        <v>115</v>
      </c>
      <c r="AN23" s="56">
        <f>AN21-AN22</f>
        <v>469.43948504604202</v>
      </c>
    </row>
    <row r="24" spans="2:40" x14ac:dyDescent="0.2">
      <c r="AM24" s="3" t="s">
        <v>116</v>
      </c>
      <c r="AN24" s="57">
        <f>AN23/Main!C7</f>
        <v>2.1442570473984834</v>
      </c>
    </row>
    <row r="25" spans="2:40" x14ac:dyDescent="0.2">
      <c r="AM25" s="13" t="s">
        <v>117</v>
      </c>
      <c r="AN25" s="7">
        <f>Main!C6</f>
        <v>1.5960000000000001</v>
      </c>
    </row>
    <row r="26" spans="2:40" x14ac:dyDescent="0.2">
      <c r="B26" s="29" t="s">
        <v>79</v>
      </c>
      <c r="AM26" s="14" t="s">
        <v>118</v>
      </c>
      <c r="AN26" s="58">
        <f>AN24/AN25-1</f>
        <v>0.34351945325719502</v>
      </c>
    </row>
    <row r="27" spans="2:40" x14ac:dyDescent="0.2">
      <c r="B27" s="1" t="s">
        <v>80</v>
      </c>
      <c r="M27" s="17">
        <v>444.7</v>
      </c>
      <c r="O27" s="17">
        <v>481.6</v>
      </c>
      <c r="U27" s="1">
        <v>356.8</v>
      </c>
      <c r="V27" s="1">
        <v>362.9</v>
      </c>
      <c r="W27" s="17">
        <v>394.1</v>
      </c>
      <c r="X27" s="17">
        <v>393.9</v>
      </c>
      <c r="Y27" s="17">
        <v>387.4</v>
      </c>
      <c r="Z27" s="17">
        <v>395.7</v>
      </c>
      <c r="AA27" s="17">
        <v>398.3</v>
      </c>
      <c r="AB27" s="17">
        <v>442.4</v>
      </c>
      <c r="AC27" s="17">
        <v>482</v>
      </c>
      <c r="AD27" s="17">
        <v>483.9</v>
      </c>
    </row>
    <row r="28" spans="2:40" x14ac:dyDescent="0.2">
      <c r="B28" s="1" t="s">
        <v>81</v>
      </c>
      <c r="M28" s="17">
        <v>97.9</v>
      </c>
      <c r="O28" s="17">
        <v>92.8</v>
      </c>
      <c r="U28" s="1">
        <v>103.8</v>
      </c>
      <c r="V28" s="1">
        <v>107.3</v>
      </c>
      <c r="W28" s="17">
        <v>102.8</v>
      </c>
      <c r="X28" s="17">
        <v>101.3</v>
      </c>
      <c r="Y28" s="17">
        <v>97.3</v>
      </c>
      <c r="Z28" s="17">
        <v>83.1</v>
      </c>
      <c r="AA28" s="17">
        <v>81.3</v>
      </c>
      <c r="AB28" s="17">
        <v>101.7</v>
      </c>
      <c r="AC28" s="17">
        <v>97.8</v>
      </c>
      <c r="AD28" s="17">
        <v>89.5</v>
      </c>
    </row>
    <row r="29" spans="2:40" x14ac:dyDescent="0.2">
      <c r="B29" s="1" t="s">
        <v>82</v>
      </c>
      <c r="M29" s="17">
        <v>329.8</v>
      </c>
      <c r="O29" s="17">
        <v>294.5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349.9</v>
      </c>
      <c r="AA29" s="17">
        <v>282.8</v>
      </c>
      <c r="AB29" s="17">
        <v>350.2</v>
      </c>
      <c r="AC29" s="17">
        <v>312.60000000000002</v>
      </c>
      <c r="AD29" s="17">
        <v>278.3</v>
      </c>
    </row>
    <row r="30" spans="2:40" s="2" customFormat="1" x14ac:dyDescent="0.2">
      <c r="B30" s="2" t="s">
        <v>83</v>
      </c>
      <c r="D30" s="33"/>
      <c r="F30" s="33"/>
      <c r="H30" s="33"/>
      <c r="J30" s="33"/>
      <c r="L30" s="33"/>
      <c r="M30" s="25">
        <v>0.7</v>
      </c>
      <c r="N30" s="33"/>
      <c r="O30" s="25">
        <v>0.3</v>
      </c>
      <c r="P30" s="33"/>
      <c r="R30" s="33"/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0.1</v>
      </c>
      <c r="AB30" s="25">
        <v>0</v>
      </c>
      <c r="AC30" s="25">
        <v>0</v>
      </c>
      <c r="AD30" s="25">
        <v>0</v>
      </c>
      <c r="AE30" s="48"/>
      <c r="AF30" s="48"/>
      <c r="AG30" s="48"/>
      <c r="AH30" s="48"/>
      <c r="AI30" s="48"/>
      <c r="AJ30" s="48"/>
      <c r="AK30" s="48"/>
    </row>
    <row r="31" spans="2:40" x14ac:dyDescent="0.2">
      <c r="B31" s="1" t="s">
        <v>84</v>
      </c>
      <c r="M31" s="17">
        <v>13.1</v>
      </c>
      <c r="O31" s="17">
        <v>9</v>
      </c>
      <c r="U31" s="1">
        <v>4.0999999999999996</v>
      </c>
      <c r="V31" s="1">
        <v>0</v>
      </c>
      <c r="W31" s="17">
        <v>0</v>
      </c>
      <c r="X31" s="17">
        <v>0</v>
      </c>
      <c r="Y31" s="17">
        <v>0</v>
      </c>
      <c r="Z31" s="17">
        <v>7.3</v>
      </c>
      <c r="AA31" s="17">
        <v>12.3</v>
      </c>
      <c r="AB31" s="17">
        <v>14.7</v>
      </c>
      <c r="AC31" s="17">
        <v>10.9</v>
      </c>
      <c r="AD31" s="17">
        <v>5.0999999999999996</v>
      </c>
    </row>
    <row r="32" spans="2:40" x14ac:dyDescent="0.2">
      <c r="B32" s="1" t="s">
        <v>111</v>
      </c>
      <c r="M32" s="17">
        <v>0</v>
      </c>
      <c r="O32" s="17">
        <v>0</v>
      </c>
      <c r="U32" s="17">
        <v>0</v>
      </c>
      <c r="V32" s="17">
        <v>0</v>
      </c>
      <c r="W32" s="17">
        <v>8.1</v>
      </c>
      <c r="X32" s="17">
        <v>8.1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</row>
    <row r="33" spans="2:37" x14ac:dyDescent="0.2">
      <c r="B33" s="1" t="s">
        <v>87</v>
      </c>
      <c r="M33" s="17">
        <v>0</v>
      </c>
      <c r="O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2.2999999999999998</v>
      </c>
    </row>
    <row r="34" spans="2:37" x14ac:dyDescent="0.2">
      <c r="B34" s="1" t="s">
        <v>85</v>
      </c>
      <c r="M34" s="17">
        <f>SUM(M27:M33)</f>
        <v>886.20000000000016</v>
      </c>
      <c r="O34" s="17">
        <f>SUM(O27:O33)</f>
        <v>878.19999999999993</v>
      </c>
      <c r="U34" s="17">
        <f>SUM(U27:U33)</f>
        <v>464.70000000000005</v>
      </c>
      <c r="V34" s="17">
        <f t="shared" ref="V34:AD34" si="38">SUM(V27:V33)</f>
        <v>470.2</v>
      </c>
      <c r="W34" s="17">
        <f t="shared" si="38"/>
        <v>505.00000000000006</v>
      </c>
      <c r="X34" s="17">
        <f t="shared" si="38"/>
        <v>503.3</v>
      </c>
      <c r="Y34" s="17">
        <f t="shared" si="38"/>
        <v>484.7</v>
      </c>
      <c r="Z34" s="17">
        <f t="shared" si="38"/>
        <v>835.99999999999989</v>
      </c>
      <c r="AA34" s="17">
        <f t="shared" si="38"/>
        <v>774.80000000000007</v>
      </c>
      <c r="AB34" s="17">
        <f t="shared" si="38"/>
        <v>909</v>
      </c>
      <c r="AC34" s="17">
        <f t="shared" ref="AC34" si="39">SUM(AC27:AC33)</f>
        <v>903.3</v>
      </c>
      <c r="AD34" s="17">
        <f t="shared" si="38"/>
        <v>859.1</v>
      </c>
    </row>
    <row r="35" spans="2:37" s="2" customFormat="1" x14ac:dyDescent="0.2">
      <c r="B35" s="2" t="s">
        <v>86</v>
      </c>
      <c r="D35" s="33"/>
      <c r="F35" s="33"/>
      <c r="H35" s="33"/>
      <c r="J35" s="33"/>
      <c r="L35" s="33"/>
      <c r="M35" s="25">
        <v>248</v>
      </c>
      <c r="N35" s="33"/>
      <c r="O35" s="25">
        <v>262.89999999999998</v>
      </c>
      <c r="P35" s="33"/>
      <c r="R35" s="33"/>
      <c r="U35" s="2">
        <v>149.30000000000001</v>
      </c>
      <c r="V35" s="2">
        <v>157.9</v>
      </c>
      <c r="W35" s="25">
        <v>191.1</v>
      </c>
      <c r="X35" s="25">
        <v>195.5</v>
      </c>
      <c r="Y35" s="25">
        <v>173.7</v>
      </c>
      <c r="Z35" s="25">
        <v>173</v>
      </c>
      <c r="AA35" s="25">
        <v>143.9</v>
      </c>
      <c r="AB35" s="25">
        <v>222.1</v>
      </c>
      <c r="AC35" s="25">
        <v>256.2</v>
      </c>
      <c r="AD35" s="25">
        <v>237.5</v>
      </c>
      <c r="AE35" s="48"/>
      <c r="AF35" s="48"/>
      <c r="AG35" s="48"/>
      <c r="AH35" s="48"/>
      <c r="AI35" s="48"/>
      <c r="AJ35" s="48"/>
      <c r="AK35" s="48"/>
    </row>
    <row r="36" spans="2:37" x14ac:dyDescent="0.2">
      <c r="B36" s="1" t="s">
        <v>87</v>
      </c>
      <c r="M36" s="17">
        <v>118.2</v>
      </c>
      <c r="O36" s="17">
        <v>162.5</v>
      </c>
      <c r="U36" s="1">
        <v>55.8</v>
      </c>
      <c r="V36" s="1">
        <v>60.7</v>
      </c>
      <c r="W36" s="17">
        <v>58.4</v>
      </c>
      <c r="X36" s="17">
        <v>56</v>
      </c>
      <c r="Y36" s="17">
        <v>59.1</v>
      </c>
      <c r="Z36" s="17">
        <v>53.5</v>
      </c>
      <c r="AA36" s="17">
        <v>74.099999999999994</v>
      </c>
      <c r="AB36" s="17">
        <v>92.6</v>
      </c>
      <c r="AC36" s="17">
        <v>144.6</v>
      </c>
      <c r="AD36" s="17">
        <v>161</v>
      </c>
    </row>
    <row r="37" spans="2:37" x14ac:dyDescent="0.2">
      <c r="B37" s="1" t="s">
        <v>88</v>
      </c>
      <c r="M37" s="17">
        <v>0</v>
      </c>
      <c r="O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6</v>
      </c>
      <c r="AB37" s="17">
        <v>0</v>
      </c>
      <c r="AC37" s="17">
        <v>0</v>
      </c>
      <c r="AD37" s="17">
        <v>0</v>
      </c>
    </row>
    <row r="38" spans="2:37" s="2" customFormat="1" x14ac:dyDescent="0.2">
      <c r="B38" s="2" t="s">
        <v>83</v>
      </c>
      <c r="D38" s="33"/>
      <c r="F38" s="33"/>
      <c r="H38" s="33"/>
      <c r="J38" s="33"/>
      <c r="L38" s="33"/>
      <c r="M38" s="25">
        <v>15.7</v>
      </c>
      <c r="N38" s="33"/>
      <c r="O38" s="25">
        <v>1.4</v>
      </c>
      <c r="P38" s="33"/>
      <c r="R38" s="33"/>
      <c r="U38" s="2">
        <v>3.9</v>
      </c>
      <c r="V38" s="2">
        <v>4.2</v>
      </c>
      <c r="W38" s="25">
        <v>5.2</v>
      </c>
      <c r="X38" s="25">
        <v>0.3</v>
      </c>
      <c r="Y38" s="25">
        <v>3.2</v>
      </c>
      <c r="Z38" s="25">
        <v>8.6999999999999993</v>
      </c>
      <c r="AA38" s="25">
        <v>0.5</v>
      </c>
      <c r="AB38" s="25">
        <v>4.2</v>
      </c>
      <c r="AC38" s="25">
        <v>1.1000000000000001</v>
      </c>
      <c r="AD38" s="25">
        <v>0.2</v>
      </c>
      <c r="AE38" s="48"/>
      <c r="AF38" s="48"/>
      <c r="AG38" s="48"/>
      <c r="AH38" s="48"/>
      <c r="AI38" s="48"/>
      <c r="AJ38" s="48"/>
      <c r="AK38" s="48"/>
    </row>
    <row r="39" spans="2:37" x14ac:dyDescent="0.2">
      <c r="B39" s="1" t="s">
        <v>89</v>
      </c>
      <c r="M39" s="17">
        <v>1.8</v>
      </c>
      <c r="O39" s="17">
        <v>7.5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8.1999999999999993</v>
      </c>
      <c r="AA39" s="17">
        <v>3.1</v>
      </c>
      <c r="AB39" s="17">
        <v>3.9</v>
      </c>
      <c r="AC39" s="17">
        <v>0</v>
      </c>
      <c r="AD39" s="17">
        <v>8.4</v>
      </c>
    </row>
    <row r="40" spans="2:37" s="2" customFormat="1" x14ac:dyDescent="0.2">
      <c r="B40" s="2" t="s">
        <v>6</v>
      </c>
      <c r="D40" s="33"/>
      <c r="F40" s="33"/>
      <c r="H40" s="33"/>
      <c r="J40" s="33"/>
      <c r="L40" s="33"/>
      <c r="M40" s="25">
        <v>78</v>
      </c>
      <c r="N40" s="33"/>
      <c r="O40" s="25">
        <v>16.2</v>
      </c>
      <c r="P40" s="33"/>
      <c r="R40" s="33"/>
      <c r="U40" s="2">
        <v>22.4</v>
      </c>
      <c r="V40" s="2">
        <v>11.9</v>
      </c>
      <c r="W40" s="25">
        <v>16.5</v>
      </c>
      <c r="X40" s="25">
        <v>27</v>
      </c>
      <c r="Y40" s="25">
        <v>9.8000000000000007</v>
      </c>
      <c r="Z40" s="25">
        <v>115.5</v>
      </c>
      <c r="AA40" s="25">
        <v>67.2</v>
      </c>
      <c r="AB40" s="25">
        <v>46.3</v>
      </c>
      <c r="AC40" s="25">
        <v>41.9</v>
      </c>
      <c r="AD40" s="25">
        <v>13.3</v>
      </c>
      <c r="AE40" s="48"/>
      <c r="AF40" s="48"/>
      <c r="AG40" s="48"/>
      <c r="AH40" s="48"/>
      <c r="AI40" s="48"/>
      <c r="AJ40" s="48"/>
      <c r="AK40" s="48"/>
    </row>
    <row r="41" spans="2:37" x14ac:dyDescent="0.2">
      <c r="B41" s="1" t="s">
        <v>90</v>
      </c>
      <c r="M41" s="17">
        <f>SUM(M34:M40)</f>
        <v>1347.9000000000003</v>
      </c>
      <c r="O41" s="17">
        <f>SUM(O34:O40)</f>
        <v>1328.7</v>
      </c>
      <c r="U41" s="17">
        <f t="shared" ref="U41:AA41" si="40">SUM(U34:U40)</f>
        <v>696.09999999999991</v>
      </c>
      <c r="V41" s="17">
        <f t="shared" si="40"/>
        <v>704.90000000000009</v>
      </c>
      <c r="W41" s="17">
        <f t="shared" si="40"/>
        <v>776.2</v>
      </c>
      <c r="X41" s="17">
        <f t="shared" si="40"/>
        <v>782.09999999999991</v>
      </c>
      <c r="Y41" s="17">
        <f t="shared" si="40"/>
        <v>730.5</v>
      </c>
      <c r="Z41" s="17">
        <f t="shared" si="40"/>
        <v>1194.9000000000001</v>
      </c>
      <c r="AA41" s="17">
        <f t="shared" si="40"/>
        <v>1069.6000000000001</v>
      </c>
      <c r="AB41" s="17">
        <f>SUM(AB34:AB40)</f>
        <v>1278.0999999999999</v>
      </c>
      <c r="AC41" s="17">
        <f t="shared" ref="AC41" si="41">SUM(AC34:AC40)</f>
        <v>1347.1</v>
      </c>
      <c r="AD41" s="17">
        <f>SUM(AD34:AD40)</f>
        <v>1279.5</v>
      </c>
    </row>
    <row r="42" spans="2:37" x14ac:dyDescent="0.2">
      <c r="M42" s="17"/>
      <c r="O42" s="17"/>
      <c r="AA42" s="17"/>
    </row>
    <row r="43" spans="2:37" s="2" customFormat="1" x14ac:dyDescent="0.2">
      <c r="B43" s="2" t="s">
        <v>91</v>
      </c>
      <c r="D43" s="33"/>
      <c r="F43" s="33"/>
      <c r="H43" s="33"/>
      <c r="J43" s="33"/>
      <c r="L43" s="33"/>
      <c r="M43" s="25">
        <v>11.5</v>
      </c>
      <c r="N43" s="33"/>
      <c r="O43" s="25">
        <v>13.8</v>
      </c>
      <c r="P43" s="33"/>
      <c r="R43" s="33"/>
      <c r="U43" s="2">
        <v>22.9</v>
      </c>
      <c r="V43" s="2">
        <v>23.4</v>
      </c>
      <c r="W43" s="25">
        <v>19.8</v>
      </c>
      <c r="X43" s="25">
        <v>20.8</v>
      </c>
      <c r="Y43" s="2">
        <v>18.5</v>
      </c>
      <c r="Z43" s="25">
        <v>0.2</v>
      </c>
      <c r="AA43" s="25">
        <v>0.2</v>
      </c>
      <c r="AB43" s="25">
        <v>0.2</v>
      </c>
      <c r="AC43" s="25">
        <v>9.6999999999999993</v>
      </c>
      <c r="AD43" s="25">
        <v>1.8</v>
      </c>
      <c r="AE43" s="48"/>
      <c r="AF43" s="48"/>
      <c r="AG43" s="48"/>
      <c r="AH43" s="48"/>
      <c r="AI43" s="48"/>
      <c r="AJ43" s="48"/>
      <c r="AK43" s="48"/>
    </row>
    <row r="44" spans="2:37" x14ac:dyDescent="0.2">
      <c r="B44" s="1" t="s">
        <v>92</v>
      </c>
      <c r="M44" s="17">
        <v>75.2</v>
      </c>
      <c r="O44" s="17">
        <v>71.900000000000006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83.2</v>
      </c>
      <c r="AA44" s="17">
        <v>63.4</v>
      </c>
      <c r="AB44" s="17">
        <v>74.5</v>
      </c>
      <c r="AC44" s="17">
        <v>77.599999999999994</v>
      </c>
      <c r="AD44" s="17">
        <v>79.099999999999994</v>
      </c>
    </row>
    <row r="45" spans="2:37" s="2" customFormat="1" x14ac:dyDescent="0.2">
      <c r="B45" s="2" t="s">
        <v>83</v>
      </c>
      <c r="D45" s="33"/>
      <c r="F45" s="33"/>
      <c r="H45" s="33"/>
      <c r="J45" s="33"/>
      <c r="L45" s="33"/>
      <c r="M45" s="25">
        <v>0.1</v>
      </c>
      <c r="N45" s="33"/>
      <c r="O45" s="25">
        <v>1.3</v>
      </c>
      <c r="P45" s="33"/>
      <c r="R45" s="33"/>
      <c r="U45" s="2">
        <v>0.1</v>
      </c>
      <c r="V45" s="25">
        <v>0</v>
      </c>
      <c r="W45" s="25">
        <v>1.5</v>
      </c>
      <c r="X45" s="25">
        <v>5.4</v>
      </c>
      <c r="Y45" s="2">
        <v>1.4</v>
      </c>
      <c r="Z45" s="25">
        <v>1.1000000000000001</v>
      </c>
      <c r="AA45" s="25">
        <v>5.9</v>
      </c>
      <c r="AB45" s="25">
        <v>0.5</v>
      </c>
      <c r="AC45" s="25">
        <v>3.7</v>
      </c>
      <c r="AD45" s="25">
        <v>1.5</v>
      </c>
      <c r="AE45" s="48"/>
      <c r="AF45" s="48"/>
      <c r="AG45" s="48"/>
      <c r="AH45" s="48"/>
      <c r="AI45" s="48"/>
      <c r="AJ45" s="48"/>
      <c r="AK45" s="48"/>
    </row>
    <row r="46" spans="2:37" x14ac:dyDescent="0.2">
      <c r="B46" s="1" t="s">
        <v>93</v>
      </c>
      <c r="M46" s="17">
        <v>350.8</v>
      </c>
      <c r="O46" s="17">
        <v>360</v>
      </c>
      <c r="U46" s="1">
        <v>181.4</v>
      </c>
      <c r="V46" s="1">
        <v>182.5</v>
      </c>
      <c r="W46" s="17">
        <v>206.2</v>
      </c>
      <c r="X46" s="17">
        <v>187</v>
      </c>
      <c r="Y46" s="1">
        <v>176.4</v>
      </c>
      <c r="Z46" s="17">
        <v>217</v>
      </c>
      <c r="AA46" s="17">
        <v>258.2</v>
      </c>
      <c r="AB46" s="17">
        <v>299.60000000000002</v>
      </c>
      <c r="AC46" s="17">
        <v>362.3</v>
      </c>
      <c r="AD46" s="17">
        <v>368.4</v>
      </c>
    </row>
    <row r="47" spans="2:37" x14ac:dyDescent="0.2">
      <c r="B47" s="1" t="s">
        <v>94</v>
      </c>
      <c r="M47" s="17">
        <v>0</v>
      </c>
      <c r="O47" s="17">
        <v>0</v>
      </c>
      <c r="U47" s="1">
        <v>12.4</v>
      </c>
      <c r="V47" s="1">
        <v>7.5</v>
      </c>
      <c r="W47" s="17">
        <v>8.6999999999999993</v>
      </c>
      <c r="X47" s="17">
        <v>3.3</v>
      </c>
      <c r="Y47" s="1">
        <v>3.3</v>
      </c>
      <c r="Z47" s="17">
        <v>0</v>
      </c>
      <c r="AA47" s="17">
        <v>0</v>
      </c>
      <c r="AB47" s="17">
        <v>4</v>
      </c>
      <c r="AC47" s="17">
        <v>3.6</v>
      </c>
      <c r="AD47" s="17">
        <v>0</v>
      </c>
    </row>
    <row r="48" spans="2:37" x14ac:dyDescent="0.2">
      <c r="B48" s="1" t="s">
        <v>95</v>
      </c>
      <c r="M48" s="17">
        <v>20.3</v>
      </c>
      <c r="O48" s="17">
        <v>13.4</v>
      </c>
      <c r="U48" s="1">
        <v>10.6</v>
      </c>
      <c r="V48" s="1">
        <v>9.5</v>
      </c>
      <c r="W48" s="17">
        <v>11</v>
      </c>
      <c r="X48" s="17">
        <v>11.9</v>
      </c>
      <c r="Y48" s="1">
        <v>15.1</v>
      </c>
      <c r="Z48" s="17">
        <v>9.6999999999999993</v>
      </c>
      <c r="AA48" s="17">
        <v>24.5</v>
      </c>
      <c r="AB48" s="17">
        <v>20.5</v>
      </c>
      <c r="AC48" s="17">
        <v>11.2</v>
      </c>
      <c r="AD48" s="17">
        <v>12.4</v>
      </c>
    </row>
    <row r="49" spans="2:37" x14ac:dyDescent="0.2">
      <c r="B49" s="1" t="s">
        <v>96</v>
      </c>
      <c r="M49" s="17">
        <f>SUM(M43:M48)</f>
        <v>457.90000000000003</v>
      </c>
      <c r="O49" s="17">
        <f>SUM(O43:O48)</f>
        <v>460.4</v>
      </c>
      <c r="U49" s="17">
        <f t="shared" ref="U49:X49" si="42">SUM(U43:U48)</f>
        <v>227.4</v>
      </c>
      <c r="V49" s="17">
        <f t="shared" si="42"/>
        <v>222.9</v>
      </c>
      <c r="W49" s="17">
        <f t="shared" si="42"/>
        <v>247.2</v>
      </c>
      <c r="X49" s="17">
        <f t="shared" si="42"/>
        <v>228.4</v>
      </c>
      <c r="Y49" s="17">
        <f>SUM(Y43:Y48)</f>
        <v>214.70000000000002</v>
      </c>
      <c r="Z49" s="17">
        <f>SUM(Z43:Z48)</f>
        <v>311.2</v>
      </c>
      <c r="AA49" s="17">
        <f>SUM(AA43:AA48)</f>
        <v>352.2</v>
      </c>
      <c r="AB49" s="17">
        <f>SUM(AB43:AB48)</f>
        <v>399.3</v>
      </c>
      <c r="AC49" s="17">
        <f t="shared" ref="AC49" si="43">SUM(AC43:AC48)</f>
        <v>468.1</v>
      </c>
      <c r="AD49" s="17">
        <f>SUM(AD43:AD48)</f>
        <v>463.19999999999993</v>
      </c>
    </row>
    <row r="50" spans="2:37" s="2" customFormat="1" x14ac:dyDescent="0.2">
      <c r="B50" s="2" t="s">
        <v>91</v>
      </c>
      <c r="D50" s="33"/>
      <c r="F50" s="33"/>
      <c r="H50" s="33"/>
      <c r="J50" s="33"/>
      <c r="L50" s="33"/>
      <c r="M50" s="25">
        <v>34.200000000000003</v>
      </c>
      <c r="N50" s="33"/>
      <c r="O50" s="25">
        <v>49.4</v>
      </c>
      <c r="P50" s="33"/>
      <c r="R50" s="33"/>
      <c r="U50" s="2">
        <v>61.3</v>
      </c>
      <c r="V50" s="2">
        <v>36.4</v>
      </c>
      <c r="W50" s="25">
        <v>82.6</v>
      </c>
      <c r="X50" s="25">
        <v>94</v>
      </c>
      <c r="Y50" s="2">
        <v>73.099999999999994</v>
      </c>
      <c r="Z50" s="25">
        <v>179.1</v>
      </c>
      <c r="AA50" s="25">
        <v>0</v>
      </c>
      <c r="AB50" s="25">
        <v>0</v>
      </c>
      <c r="AC50" s="25">
        <v>34</v>
      </c>
      <c r="AD50" s="25">
        <v>19.600000000000001</v>
      </c>
      <c r="AE50" s="48"/>
      <c r="AF50" s="48"/>
      <c r="AG50" s="48"/>
      <c r="AH50" s="48"/>
      <c r="AI50" s="48"/>
      <c r="AJ50" s="48"/>
      <c r="AK50" s="48"/>
    </row>
    <row r="51" spans="2:37" x14ac:dyDescent="0.2">
      <c r="B51" s="1" t="s">
        <v>92</v>
      </c>
      <c r="M51" s="17">
        <v>293.10000000000002</v>
      </c>
      <c r="O51" s="17">
        <v>253.4</v>
      </c>
      <c r="U51" s="1">
        <v>31.5</v>
      </c>
      <c r="V51" s="1">
        <v>32.299999999999997</v>
      </c>
      <c r="W51" s="17">
        <v>31.9</v>
      </c>
      <c r="X51" s="17">
        <v>31.2</v>
      </c>
      <c r="Y51" s="1">
        <v>0</v>
      </c>
      <c r="Z51" s="17">
        <v>332.8</v>
      </c>
      <c r="AA51" s="17">
        <v>280.89999999999998</v>
      </c>
      <c r="AB51" s="17">
        <v>316.5</v>
      </c>
      <c r="AC51" s="17">
        <v>269.3</v>
      </c>
      <c r="AD51" s="17">
        <v>228.1</v>
      </c>
    </row>
    <row r="52" spans="2:37" s="2" customFormat="1" x14ac:dyDescent="0.2">
      <c r="B52" s="2" t="s">
        <v>83</v>
      </c>
      <c r="D52" s="33"/>
      <c r="F52" s="33"/>
      <c r="H52" s="33"/>
      <c r="J52" s="33"/>
      <c r="L52" s="33"/>
      <c r="M52" s="25">
        <v>0.1</v>
      </c>
      <c r="N52" s="33"/>
      <c r="O52" s="25">
        <v>0</v>
      </c>
      <c r="P52" s="33"/>
      <c r="R52" s="33"/>
      <c r="U52" s="25">
        <v>0</v>
      </c>
      <c r="V52" s="25">
        <v>0</v>
      </c>
      <c r="W52" s="25">
        <v>0</v>
      </c>
      <c r="X52" s="25">
        <v>0</v>
      </c>
      <c r="Y52" s="2">
        <v>0</v>
      </c>
      <c r="Z52" s="25">
        <v>0</v>
      </c>
      <c r="AA52" s="25">
        <v>0.4</v>
      </c>
      <c r="AB52" s="25">
        <v>0</v>
      </c>
      <c r="AC52" s="25">
        <v>0.5</v>
      </c>
      <c r="AD52" s="25">
        <v>0.1</v>
      </c>
      <c r="AE52" s="48"/>
      <c r="AF52" s="48"/>
      <c r="AG52" s="48"/>
      <c r="AH52" s="48"/>
      <c r="AI52" s="48"/>
      <c r="AJ52" s="48"/>
      <c r="AK52" s="48"/>
    </row>
    <row r="53" spans="2:37" x14ac:dyDescent="0.2">
      <c r="B53" s="1" t="s">
        <v>93</v>
      </c>
      <c r="M53" s="25">
        <v>3.7</v>
      </c>
      <c r="O53" s="17">
        <v>3.9</v>
      </c>
      <c r="U53" s="17">
        <v>0</v>
      </c>
      <c r="V53" s="17">
        <v>0</v>
      </c>
      <c r="W53" s="17">
        <v>0</v>
      </c>
      <c r="X53" s="17">
        <v>0</v>
      </c>
      <c r="Y53" s="1">
        <v>28.1</v>
      </c>
      <c r="Z53" s="17">
        <v>1.9</v>
      </c>
      <c r="AA53" s="17">
        <v>3.3</v>
      </c>
      <c r="AB53" s="17">
        <v>4.9000000000000004</v>
      </c>
      <c r="AC53" s="17">
        <v>3.5</v>
      </c>
      <c r="AD53" s="17">
        <v>3.6</v>
      </c>
    </row>
    <row r="54" spans="2:37" x14ac:dyDescent="0.2">
      <c r="B54" s="1" t="s">
        <v>84</v>
      </c>
      <c r="M54" s="17">
        <v>0</v>
      </c>
      <c r="O54" s="17">
        <v>0</v>
      </c>
      <c r="U54" s="17">
        <v>0</v>
      </c>
      <c r="V54" s="17">
        <v>0</v>
      </c>
      <c r="W54" s="17">
        <v>0.8</v>
      </c>
      <c r="X54" s="17">
        <v>2.7</v>
      </c>
      <c r="Y54" s="1">
        <v>0.1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</row>
    <row r="55" spans="2:37" x14ac:dyDescent="0.2">
      <c r="B55" s="1" t="s">
        <v>95</v>
      </c>
      <c r="M55" s="17">
        <v>4.3</v>
      </c>
      <c r="O55" s="17">
        <v>11</v>
      </c>
      <c r="U55" s="1">
        <v>8.1999999999999993</v>
      </c>
      <c r="V55" s="1">
        <v>7.9</v>
      </c>
      <c r="W55" s="17">
        <v>6.2</v>
      </c>
      <c r="X55" s="17">
        <v>3.9</v>
      </c>
      <c r="Y55" s="1">
        <v>5.2</v>
      </c>
      <c r="Z55" s="17">
        <v>4.0999999999999996</v>
      </c>
      <c r="AA55" s="17">
        <v>15</v>
      </c>
      <c r="AB55" s="17">
        <v>6.4</v>
      </c>
      <c r="AC55" s="17">
        <v>14.8</v>
      </c>
      <c r="AD55" s="17">
        <v>11.1</v>
      </c>
    </row>
    <row r="56" spans="2:37" x14ac:dyDescent="0.2">
      <c r="B56" s="1" t="s">
        <v>97</v>
      </c>
      <c r="M56" s="17">
        <f>SUM(M49:M55)</f>
        <v>793.30000000000007</v>
      </c>
      <c r="O56" s="17">
        <f>SUM(O49:O55)</f>
        <v>778.09999999999991</v>
      </c>
      <c r="U56" s="17">
        <f t="shared" ref="U56:X56" si="44">SUM(U49:U55)</f>
        <v>328.4</v>
      </c>
      <c r="V56" s="17">
        <f t="shared" si="44"/>
        <v>299.5</v>
      </c>
      <c r="W56" s="17">
        <f t="shared" si="44"/>
        <v>368.69999999999993</v>
      </c>
      <c r="X56" s="17">
        <f t="shared" si="44"/>
        <v>360.19999999999993</v>
      </c>
      <c r="Y56" s="17">
        <f>SUM(Y49:Y55)</f>
        <v>321.20000000000005</v>
      </c>
      <c r="Z56" s="17">
        <f>SUM(Z49:Z55)</f>
        <v>829.09999999999991</v>
      </c>
      <c r="AA56" s="17">
        <f>SUM(AA49:AA55)</f>
        <v>651.79999999999984</v>
      </c>
      <c r="AB56" s="17">
        <f>SUM(AB49:AB55)</f>
        <v>727.09999999999991</v>
      </c>
      <c r="AC56" s="17">
        <f t="shared" ref="AC56" si="45">SUM(AC49:AC55)</f>
        <v>790.2</v>
      </c>
      <c r="AD56" s="17">
        <f>SUM(AD49:AD55)</f>
        <v>725.7</v>
      </c>
    </row>
    <row r="57" spans="2:37" x14ac:dyDescent="0.2">
      <c r="O57" s="17"/>
    </row>
    <row r="58" spans="2:37" s="17" customFormat="1" x14ac:dyDescent="0.2">
      <c r="B58" s="17" t="s">
        <v>98</v>
      </c>
      <c r="D58" s="35"/>
      <c r="F58" s="35"/>
      <c r="H58" s="35"/>
      <c r="J58" s="35"/>
      <c r="L58" s="35"/>
      <c r="M58" s="17">
        <v>554.6</v>
      </c>
      <c r="N58" s="35"/>
      <c r="O58" s="17">
        <v>550.6</v>
      </c>
      <c r="P58" s="35"/>
      <c r="R58" s="35"/>
      <c r="U58" s="17">
        <v>367.7</v>
      </c>
      <c r="V58" s="17">
        <v>405.4</v>
      </c>
      <c r="W58" s="17">
        <v>407.5</v>
      </c>
      <c r="X58" s="17">
        <v>421.9</v>
      </c>
      <c r="Y58" s="17">
        <v>409.3</v>
      </c>
      <c r="Z58" s="17">
        <v>365.8</v>
      </c>
      <c r="AA58" s="17">
        <v>417.8</v>
      </c>
      <c r="AB58" s="17">
        <v>551</v>
      </c>
      <c r="AC58" s="17">
        <v>556.9</v>
      </c>
      <c r="AD58" s="17">
        <v>553.79999999999995</v>
      </c>
      <c r="AE58" s="45"/>
      <c r="AF58" s="45"/>
      <c r="AG58" s="45"/>
      <c r="AH58" s="45"/>
      <c r="AI58" s="45"/>
      <c r="AJ58" s="45"/>
      <c r="AK58" s="45"/>
    </row>
    <row r="59" spans="2:37" s="17" customFormat="1" x14ac:dyDescent="0.2">
      <c r="B59" s="17" t="s">
        <v>99</v>
      </c>
      <c r="D59" s="35"/>
      <c r="F59" s="35"/>
      <c r="H59" s="35"/>
      <c r="J59" s="35"/>
      <c r="L59" s="35"/>
      <c r="M59" s="17">
        <f>+M58+M56</f>
        <v>1347.9</v>
      </c>
      <c r="N59" s="35"/>
      <c r="O59" s="17">
        <f>+O58+O56</f>
        <v>1328.6999999999998</v>
      </c>
      <c r="P59" s="35"/>
      <c r="R59" s="35"/>
      <c r="U59" s="17">
        <f t="shared" ref="U59:X59" si="46">U58+U56</f>
        <v>696.09999999999991</v>
      </c>
      <c r="V59" s="17">
        <f t="shared" si="46"/>
        <v>704.9</v>
      </c>
      <c r="W59" s="17">
        <f t="shared" si="46"/>
        <v>776.19999999999993</v>
      </c>
      <c r="X59" s="17">
        <f t="shared" si="46"/>
        <v>782.09999999999991</v>
      </c>
      <c r="Y59" s="17">
        <f>Y58+Y56</f>
        <v>730.5</v>
      </c>
      <c r="Z59" s="17">
        <f>Z58+Z56</f>
        <v>1194.8999999999999</v>
      </c>
      <c r="AA59" s="17">
        <f>AA58+AA56</f>
        <v>1069.5999999999999</v>
      </c>
      <c r="AB59" s="17">
        <f>AB58+AB56</f>
        <v>1278.0999999999999</v>
      </c>
      <c r="AC59" s="17">
        <f>AC58+AC56</f>
        <v>1347.1</v>
      </c>
      <c r="AD59" s="17">
        <f>AD58+AD56</f>
        <v>1279.5</v>
      </c>
      <c r="AE59" s="45"/>
      <c r="AF59" s="45"/>
      <c r="AG59" s="45"/>
      <c r="AH59" s="45"/>
      <c r="AI59" s="45"/>
      <c r="AJ59" s="45"/>
      <c r="AK59" s="45"/>
    </row>
    <row r="61" spans="2:37" x14ac:dyDescent="0.2">
      <c r="B61" s="1" t="s">
        <v>100</v>
      </c>
      <c r="M61" s="17">
        <f>M41-M56</f>
        <v>554.60000000000025</v>
      </c>
      <c r="O61" s="17">
        <f>O41-O56</f>
        <v>550.60000000000014</v>
      </c>
      <c r="U61" s="17">
        <f t="shared" ref="U61:V61" si="47">U41-U56</f>
        <v>367.69999999999993</v>
      </c>
      <c r="V61" s="17">
        <f t="shared" si="47"/>
        <v>405.40000000000009</v>
      </c>
      <c r="W61" s="17">
        <f t="shared" ref="W61:Y61" si="48">W41-W56</f>
        <v>407.50000000000011</v>
      </c>
      <c r="X61" s="17">
        <f t="shared" si="48"/>
        <v>421.9</v>
      </c>
      <c r="Y61" s="17">
        <f t="shared" si="48"/>
        <v>409.29999999999995</v>
      </c>
      <c r="Z61" s="17">
        <f t="shared" ref="Z61:AA61" si="49">Z41-Z56</f>
        <v>365.80000000000018</v>
      </c>
      <c r="AA61" s="17">
        <f t="shared" si="49"/>
        <v>417.8000000000003</v>
      </c>
      <c r="AB61" s="17">
        <f>AB41-AB56</f>
        <v>551</v>
      </c>
      <c r="AC61" s="17">
        <f>AC41-AC56</f>
        <v>556.89999999999986</v>
      </c>
      <c r="AD61" s="17">
        <f>AD41-AD56</f>
        <v>553.79999999999995</v>
      </c>
    </row>
    <row r="62" spans="2:37" x14ac:dyDescent="0.2">
      <c r="B62" s="1" t="s">
        <v>101</v>
      </c>
      <c r="M62" s="1">
        <f>M61/M14</f>
        <v>2.4736842105263168</v>
      </c>
      <c r="O62" s="1">
        <f>O61/O14</f>
        <v>2.4266196562362281</v>
      </c>
      <c r="U62" s="1">
        <f t="shared" ref="U62:V62" si="50">U61/U14</f>
        <v>1.8627152988855114</v>
      </c>
      <c r="V62" s="1">
        <f t="shared" si="50"/>
        <v>2.0652063168619463</v>
      </c>
      <c r="W62" s="1">
        <f t="shared" ref="W62:Y62" si="51">W61/W14</f>
        <v>2.0674784373414519</v>
      </c>
      <c r="X62" s="1">
        <f t="shared" si="51"/>
        <v>2.1243705941591138</v>
      </c>
      <c r="Y62" s="1">
        <f t="shared" si="51"/>
        <v>2.0557508789552985</v>
      </c>
      <c r="Z62" s="1">
        <f t="shared" ref="Z62:AA62" si="52">Z61/Z14</f>
        <v>1.8372677046710206</v>
      </c>
      <c r="AA62" s="1">
        <f t="shared" si="52"/>
        <v>2.0984429934706195</v>
      </c>
      <c r="AB62" s="1">
        <f>AB61/AB14</f>
        <v>2.6786582401555665</v>
      </c>
      <c r="AC62" s="1">
        <f>AC61/AC14</f>
        <v>2.5616375344986193</v>
      </c>
      <c r="AD62" s="1">
        <f>AD61/AD14</f>
        <v>2.5473781048758046</v>
      </c>
    </row>
    <row r="64" spans="2:37" x14ac:dyDescent="0.2">
      <c r="B64" s="1" t="s">
        <v>6</v>
      </c>
      <c r="M64" s="17">
        <f t="shared" ref="M64:O64" si="53">M30+M38+M40</f>
        <v>94.4</v>
      </c>
      <c r="O64" s="17">
        <f t="shared" si="53"/>
        <v>17.899999999999999</v>
      </c>
      <c r="U64" s="17">
        <f t="shared" ref="U64:V64" si="54">U30+U38+U40</f>
        <v>26.299999999999997</v>
      </c>
      <c r="V64" s="17">
        <f t="shared" si="54"/>
        <v>16.100000000000001</v>
      </c>
      <c r="W64" s="17">
        <f t="shared" ref="W64:Y64" si="55">W30+W38+W40</f>
        <v>21.7</v>
      </c>
      <c r="X64" s="17">
        <f t="shared" si="55"/>
        <v>27.3</v>
      </c>
      <c r="Y64" s="17">
        <f t="shared" si="55"/>
        <v>13</v>
      </c>
      <c r="Z64" s="17">
        <f t="shared" ref="Z64:AA64" si="56">Z30+Z38+Z40</f>
        <v>124.2</v>
      </c>
      <c r="AA64" s="17">
        <f t="shared" si="56"/>
        <v>67.8</v>
      </c>
      <c r="AB64" s="17">
        <f>AB30+AB38+AB40</f>
        <v>50.5</v>
      </c>
      <c r="AC64" s="17">
        <f t="shared" ref="AC64:AD64" si="57">AC30+AC38+AC40</f>
        <v>43</v>
      </c>
      <c r="AD64" s="17">
        <f>AD30+AD38+AD40</f>
        <v>13.5</v>
      </c>
    </row>
    <row r="65" spans="1:37" x14ac:dyDescent="0.2">
      <c r="B65" s="1" t="s">
        <v>7</v>
      </c>
      <c r="M65" s="17">
        <f t="shared" ref="M65:O65" si="58">M43+M45+M50+M52</f>
        <v>45.900000000000006</v>
      </c>
      <c r="O65" s="17">
        <f t="shared" si="58"/>
        <v>64.5</v>
      </c>
      <c r="U65" s="17">
        <f t="shared" ref="U65:V65" si="59">U43+U45+U50+U52</f>
        <v>84.3</v>
      </c>
      <c r="V65" s="17">
        <f t="shared" si="59"/>
        <v>59.8</v>
      </c>
      <c r="W65" s="17">
        <f t="shared" ref="W65:Y65" si="60">W43+W45+W50+W52</f>
        <v>103.89999999999999</v>
      </c>
      <c r="X65" s="17">
        <f t="shared" si="60"/>
        <v>120.2</v>
      </c>
      <c r="Y65" s="17">
        <f t="shared" si="60"/>
        <v>93</v>
      </c>
      <c r="Z65" s="17">
        <f t="shared" ref="Z65:AA65" si="61">Z43+Z45+Z50+Z52</f>
        <v>180.4</v>
      </c>
      <c r="AA65" s="17">
        <f t="shared" si="61"/>
        <v>6.5000000000000009</v>
      </c>
      <c r="AB65" s="17">
        <f>AB43+AB45+AB50+AB52</f>
        <v>0.7</v>
      </c>
      <c r="AC65" s="17">
        <f t="shared" ref="AC65:AD65" si="62">AC43+AC45+AC50+AC52</f>
        <v>47.9</v>
      </c>
      <c r="AD65" s="17">
        <f>AD43+AD45+AD50+AD52</f>
        <v>23.000000000000004</v>
      </c>
    </row>
    <row r="66" spans="1:37" x14ac:dyDescent="0.2">
      <c r="B66" s="1" t="s">
        <v>8</v>
      </c>
      <c r="M66" s="17">
        <f t="shared" ref="M66:O66" si="63">M64-M65</f>
        <v>48.5</v>
      </c>
      <c r="O66" s="17">
        <f t="shared" si="63"/>
        <v>-46.6</v>
      </c>
      <c r="U66" s="17">
        <f t="shared" ref="U66:V66" si="64">U64-U65</f>
        <v>-58</v>
      </c>
      <c r="V66" s="17">
        <f t="shared" si="64"/>
        <v>-43.699999999999996</v>
      </c>
      <c r="W66" s="17">
        <f t="shared" ref="W66:Y66" si="65">W64-W65</f>
        <v>-82.199999999999989</v>
      </c>
      <c r="X66" s="17">
        <f t="shared" si="65"/>
        <v>-92.9</v>
      </c>
      <c r="Y66" s="17">
        <f t="shared" si="65"/>
        <v>-80</v>
      </c>
      <c r="Z66" s="17">
        <f t="shared" ref="Z66:AA66" si="66">Z64-Z65</f>
        <v>-56.2</v>
      </c>
      <c r="AA66" s="17">
        <f t="shared" si="66"/>
        <v>61.3</v>
      </c>
      <c r="AB66" s="17">
        <f>AB64-AB65</f>
        <v>49.8</v>
      </c>
      <c r="AC66" s="17">
        <f t="shared" ref="AC66" si="67">AC64-AC65</f>
        <v>-4.8999999999999986</v>
      </c>
      <c r="AD66" s="17">
        <f>AD64-AD65</f>
        <v>-9.5000000000000036</v>
      </c>
    </row>
    <row r="68" spans="1:37" s="28" customFormat="1" x14ac:dyDescent="0.2">
      <c r="B68" s="28" t="s">
        <v>102</v>
      </c>
      <c r="D68" s="39"/>
      <c r="F68" s="39"/>
      <c r="H68" s="39"/>
      <c r="J68" s="39"/>
      <c r="L68" s="39"/>
      <c r="N68" s="39"/>
      <c r="O68" s="28">
        <f>O35/M35-1</f>
        <v>6.0080645161290303E-2</v>
      </c>
      <c r="P68" s="39"/>
      <c r="R68" s="39"/>
      <c r="V68" s="28">
        <f t="shared" ref="V68" si="68">V35/U35-1</f>
        <v>5.7602143335566014E-2</v>
      </c>
      <c r="W68" s="28">
        <f t="shared" ref="W68" si="69">W35/V35-1</f>
        <v>0.21025965801139956</v>
      </c>
      <c r="X68" s="28">
        <f t="shared" ref="X68:Y68" si="70">X35/W35-1</f>
        <v>2.3024594453165959E-2</v>
      </c>
      <c r="Y68" s="28">
        <f t="shared" si="70"/>
        <v>-0.11150895140664963</v>
      </c>
      <c r="Z68" s="28">
        <f>Z35/Y35-1</f>
        <v>-4.029936672423684E-3</v>
      </c>
      <c r="AA68" s="28">
        <f>AA35/Z35-1</f>
        <v>-0.16820809248554913</v>
      </c>
      <c r="AB68" s="28">
        <f>AB35/AA35-1</f>
        <v>0.54343293954134797</v>
      </c>
      <c r="AC68" s="28">
        <f>AC35/AB35-1</f>
        <v>0.15353444394416926</v>
      </c>
      <c r="AD68" s="28">
        <f>AD35/AC35-1</f>
        <v>-7.2989851678376239E-2</v>
      </c>
      <c r="AE68" s="49"/>
      <c r="AF68" s="49"/>
      <c r="AG68" s="49"/>
      <c r="AH68" s="49"/>
      <c r="AI68" s="49"/>
      <c r="AJ68" s="49"/>
      <c r="AK68" s="49"/>
    </row>
    <row r="70" spans="1:37" s="37" customFormat="1" x14ac:dyDescent="0.2">
      <c r="B70" s="37" t="s">
        <v>103</v>
      </c>
      <c r="D70" s="38"/>
      <c r="F70" s="38"/>
      <c r="H70" s="38"/>
      <c r="J70" s="38"/>
      <c r="L70" s="38"/>
      <c r="M70" s="1">
        <v>1.7208000000000001</v>
      </c>
      <c r="N70" s="38"/>
      <c r="O70" s="1">
        <v>1.85</v>
      </c>
      <c r="P70" s="38"/>
      <c r="R70" s="38"/>
      <c r="U70" s="37">
        <v>3.0615000000000001</v>
      </c>
      <c r="V70" s="37">
        <v>2.6158000000000001</v>
      </c>
      <c r="W70" s="37">
        <v>2.5855999999999999</v>
      </c>
      <c r="X70" s="37">
        <v>2.4986999999999999</v>
      </c>
      <c r="Y70" s="37">
        <v>1.7</v>
      </c>
      <c r="Z70" s="37">
        <v>0.60350000000000004</v>
      </c>
      <c r="AA70" s="37">
        <v>3.5316000000000001</v>
      </c>
      <c r="AB70" s="37">
        <v>2.4632000000000001</v>
      </c>
      <c r="AC70" s="37">
        <v>1.5487</v>
      </c>
      <c r="AD70" s="37">
        <v>1.6029</v>
      </c>
      <c r="AE70" s="50"/>
      <c r="AF70" s="50"/>
      <c r="AG70" s="50"/>
      <c r="AH70" s="50"/>
      <c r="AI70" s="50"/>
      <c r="AJ70" s="50"/>
      <c r="AK70" s="50"/>
    </row>
    <row r="71" spans="1:37" x14ac:dyDescent="0.2">
      <c r="B71" s="1" t="s">
        <v>5</v>
      </c>
      <c r="M71" s="17">
        <f t="shared" ref="M71" si="71">M70*M14</f>
        <v>385.80336</v>
      </c>
      <c r="O71" s="17">
        <f t="shared" ref="O71" si="72">O70*O14</f>
        <v>419.76500000000004</v>
      </c>
      <c r="U71" s="17">
        <f t="shared" ref="U71:X71" si="73">U70*U14</f>
        <v>604.34010000000001</v>
      </c>
      <c r="V71" s="17">
        <f t="shared" si="73"/>
        <v>513.48154000000011</v>
      </c>
      <c r="W71" s="17">
        <f t="shared" si="73"/>
        <v>509.62175999999994</v>
      </c>
      <c r="X71" s="17">
        <f t="shared" si="73"/>
        <v>496.24181999999996</v>
      </c>
      <c r="Y71" s="17">
        <f t="shared" ref="Y71:Z71" si="74">Y70*Y14</f>
        <v>338.46999999999997</v>
      </c>
      <c r="Z71" s="17">
        <f t="shared" si="74"/>
        <v>120.15685000000001</v>
      </c>
      <c r="AA71" s="17">
        <f>AA70*AA14</f>
        <v>703.14156000000003</v>
      </c>
      <c r="AB71" s="17">
        <f>AB70*AB14</f>
        <v>506.68023999999997</v>
      </c>
      <c r="AC71" s="17">
        <f t="shared" ref="AC71:AD71" si="75">AC70*AC14</f>
        <v>336.68738000000002</v>
      </c>
      <c r="AD71" s="17">
        <f t="shared" si="75"/>
        <v>348.47046</v>
      </c>
    </row>
    <row r="72" spans="1:37" x14ac:dyDescent="0.2">
      <c r="B72" s="1" t="s">
        <v>9</v>
      </c>
      <c r="M72" s="17">
        <f t="shared" ref="M72" si="76">M71-M66</f>
        <v>337.30336</v>
      </c>
      <c r="O72" s="17">
        <f t="shared" ref="O72" si="77">O71-O66</f>
        <v>466.36500000000007</v>
      </c>
      <c r="U72" s="17">
        <f t="shared" ref="U72:X72" si="78">U71-U66</f>
        <v>662.34010000000001</v>
      </c>
      <c r="V72" s="17">
        <f t="shared" si="78"/>
        <v>557.18154000000015</v>
      </c>
      <c r="W72" s="17">
        <f t="shared" si="78"/>
        <v>591.82175999999993</v>
      </c>
      <c r="X72" s="17">
        <f t="shared" si="78"/>
        <v>589.14181999999994</v>
      </c>
      <c r="Y72" s="17">
        <f>Y71-Y66</f>
        <v>418.46999999999997</v>
      </c>
      <c r="Z72" s="17">
        <f>Z71-Z66</f>
        <v>176.35685000000001</v>
      </c>
      <c r="AA72" s="17">
        <f>AA71-AA66</f>
        <v>641.84156000000007</v>
      </c>
      <c r="AB72" s="17">
        <f>AB71-AB66</f>
        <v>456.88023999999996</v>
      </c>
      <c r="AC72" s="17">
        <f t="shared" ref="AC72:AD72" si="79">AC71-AC66</f>
        <v>341.58738</v>
      </c>
      <c r="AD72" s="17">
        <f t="shared" si="79"/>
        <v>357.97046</v>
      </c>
    </row>
    <row r="74" spans="1:37" x14ac:dyDescent="0.2">
      <c r="A74" s="59">
        <f>AVERAGE(U74:AB74)</f>
        <v>1.1368672669892439</v>
      </c>
      <c r="B74" s="1" t="s">
        <v>21</v>
      </c>
      <c r="M74" s="40">
        <f>M70/M62</f>
        <v>0.69564255319148915</v>
      </c>
      <c r="N74" s="41"/>
      <c r="O74" s="40">
        <f>O70/O62</f>
        <v>0.76237740646567365</v>
      </c>
      <c r="U74" s="40">
        <f t="shared" ref="U74:X74" si="80">U70/U62</f>
        <v>1.6435683981506666</v>
      </c>
      <c r="V74" s="40">
        <f t="shared" si="80"/>
        <v>1.2666046867291563</v>
      </c>
      <c r="W74" s="40">
        <f t="shared" si="80"/>
        <v>1.2506055460122694</v>
      </c>
      <c r="X74" s="40">
        <f t="shared" si="80"/>
        <v>1.1762072054989334</v>
      </c>
      <c r="Y74" s="40">
        <f t="shared" ref="Y74:AA74" si="81">Y70/Y62</f>
        <v>0.82694844857073058</v>
      </c>
      <c r="Z74" s="40">
        <f t="shared" si="81"/>
        <v>0.32847689994532514</v>
      </c>
      <c r="AA74" s="40">
        <f t="shared" si="81"/>
        <v>1.682962087123024</v>
      </c>
      <c r="AB74" s="40">
        <f>AB70/AB62</f>
        <v>0.91956486388384751</v>
      </c>
      <c r="AC74" s="40">
        <f>AC70/AC62</f>
        <v>0.60457421440114933</v>
      </c>
      <c r="AD74" s="40">
        <f>AD70/AD62</f>
        <v>0.62923521126760573</v>
      </c>
    </row>
    <row r="75" spans="1:37" s="40" customFormat="1" x14ac:dyDescent="0.2">
      <c r="A75" s="59">
        <f t="shared" ref="A75:A78" si="82">AVERAGE(U75:AB75)</f>
        <v>0.41374638068405767</v>
      </c>
      <c r="B75" s="40" t="s">
        <v>22</v>
      </c>
      <c r="D75" s="41"/>
      <c r="F75" s="41"/>
      <c r="H75" s="41"/>
      <c r="J75" s="41"/>
      <c r="L75" s="41"/>
      <c r="N75" s="41"/>
      <c r="P75" s="41"/>
      <c r="R75" s="41"/>
      <c r="U75" s="40">
        <f t="shared" ref="U75:X75" si="83">U71/U4</f>
        <v>0.58937009947337615</v>
      </c>
      <c r="V75" s="40">
        <f t="shared" si="83"/>
        <v>0.50267404796867365</v>
      </c>
      <c r="W75" s="40">
        <f t="shared" si="83"/>
        <v>0.46540799999999993</v>
      </c>
      <c r="X75" s="40">
        <f t="shared" si="83"/>
        <v>0.43717894458638007</v>
      </c>
      <c r="Y75" s="40">
        <f t="shared" ref="Y75:AA75" si="84">Y71/Y4</f>
        <v>0.29726857544352714</v>
      </c>
      <c r="Z75" s="40">
        <f t="shared" si="84"/>
        <v>0.10402289845035063</v>
      </c>
      <c r="AA75" s="40">
        <f t="shared" si="84"/>
        <v>0.54410087440996679</v>
      </c>
      <c r="AB75" s="40">
        <f>AB71/AB4</f>
        <v>0.36994760514018693</v>
      </c>
      <c r="AC75" s="40">
        <f>AC71/AC4</f>
        <v>0.21408239333630064</v>
      </c>
      <c r="AD75" s="40">
        <f>AD71/AD4</f>
        <v>0.20540551724137932</v>
      </c>
      <c r="AE75" s="51"/>
      <c r="AF75" s="51"/>
      <c r="AG75" s="51"/>
      <c r="AH75" s="51"/>
      <c r="AI75" s="51"/>
      <c r="AJ75" s="51"/>
      <c r="AK75" s="51"/>
    </row>
    <row r="76" spans="1:37" s="40" customFormat="1" x14ac:dyDescent="0.2">
      <c r="A76" s="59">
        <f t="shared" si="82"/>
        <v>0.45016822490598901</v>
      </c>
      <c r="B76" s="40" t="s">
        <v>25</v>
      </c>
      <c r="D76" s="41"/>
      <c r="F76" s="41"/>
      <c r="H76" s="41"/>
      <c r="J76" s="41"/>
      <c r="L76" s="41"/>
      <c r="N76" s="41"/>
      <c r="P76" s="41"/>
      <c r="R76" s="41"/>
      <c r="U76" s="40">
        <f t="shared" ref="U76:X76" si="85">U72/U4</f>
        <v>0.64593339184708398</v>
      </c>
      <c r="V76" s="40">
        <f t="shared" si="85"/>
        <v>0.54545427312775341</v>
      </c>
      <c r="W76" s="40">
        <f t="shared" si="85"/>
        <v>0.54047649315068491</v>
      </c>
      <c r="X76" s="40">
        <f t="shared" si="85"/>
        <v>0.51902195401286233</v>
      </c>
      <c r="Y76" s="40">
        <f t="shared" ref="Y76:AA76" si="86">Y72/Y4</f>
        <v>0.36753030036887407</v>
      </c>
      <c r="Z76" s="40">
        <f t="shared" si="86"/>
        <v>0.15267669465847114</v>
      </c>
      <c r="AA76" s="40">
        <f t="shared" si="86"/>
        <v>0.49666606825040632</v>
      </c>
      <c r="AB76" s="40">
        <f>AB72/AB4</f>
        <v>0.33358662383177567</v>
      </c>
      <c r="AC76" s="40">
        <f>AC72/AC4</f>
        <v>0.21719805430151967</v>
      </c>
      <c r="AD76" s="40">
        <f>AD72/AD4</f>
        <v>0.2110052814618332</v>
      </c>
      <c r="AE76" s="51"/>
      <c r="AF76" s="51"/>
      <c r="AG76" s="51"/>
      <c r="AH76" s="51"/>
      <c r="AI76" s="51"/>
      <c r="AJ76" s="51"/>
      <c r="AK76" s="51"/>
    </row>
    <row r="77" spans="1:37" s="40" customFormat="1" x14ac:dyDescent="0.2">
      <c r="A77" s="59">
        <f t="shared" si="82"/>
        <v>8.7576011619956287</v>
      </c>
      <c r="B77" s="40" t="s">
        <v>23</v>
      </c>
      <c r="D77" s="41"/>
      <c r="F77" s="41"/>
      <c r="H77" s="41"/>
      <c r="J77" s="41"/>
      <c r="L77" s="41"/>
      <c r="N77" s="41"/>
      <c r="P77" s="41"/>
      <c r="R77" s="41"/>
      <c r="U77" s="40">
        <f t="shared" ref="U77:X77" si="87">U70/U13</f>
        <v>9.184499999999991</v>
      </c>
      <c r="V77" s="40">
        <f t="shared" si="87"/>
        <v>8.0863234645669291</v>
      </c>
      <c r="W77" s="40">
        <f t="shared" si="87"/>
        <v>9.0358468085106303</v>
      </c>
      <c r="X77" s="40">
        <f t="shared" si="87"/>
        <v>9.072062522851926</v>
      </c>
      <c r="Y77" s="40">
        <f t="shared" ref="Y77:AA77" si="88">Y70/Y13</f>
        <v>8.0780429594272327</v>
      </c>
      <c r="Z77" s="40">
        <f t="shared" si="88"/>
        <v>6.8661057142857596</v>
      </c>
      <c r="AA77" s="40">
        <f t="shared" si="88"/>
        <v>13.216946616541351</v>
      </c>
      <c r="AB77" s="40">
        <f>AB70/AB13</f>
        <v>6.520981209781211</v>
      </c>
      <c r="AC77" s="40">
        <f>AC70/AC13</f>
        <v>11.981757295373656</v>
      </c>
      <c r="AD77" s="40">
        <f>AD70/AD13</f>
        <v>12.0162227586207</v>
      </c>
      <c r="AE77" s="51"/>
      <c r="AF77" s="51"/>
      <c r="AG77" s="51"/>
      <c r="AH77" s="51"/>
      <c r="AI77" s="51"/>
      <c r="AJ77" s="51"/>
      <c r="AK77" s="51"/>
    </row>
    <row r="78" spans="1:37" s="40" customFormat="1" x14ac:dyDescent="0.2">
      <c r="A78" s="59">
        <f t="shared" si="82"/>
        <v>9.7642266095637211</v>
      </c>
      <c r="B78" s="40" t="s">
        <v>24</v>
      </c>
      <c r="D78" s="41"/>
      <c r="F78" s="41"/>
      <c r="H78" s="41"/>
      <c r="J78" s="41"/>
      <c r="L78" s="41"/>
      <c r="N78" s="41"/>
      <c r="P78" s="41"/>
      <c r="R78" s="41"/>
      <c r="U78" s="40">
        <f t="shared" ref="U78:X78" si="89">U72/U12</f>
        <v>10.06595896656534</v>
      </c>
      <c r="V78" s="40">
        <f t="shared" si="89"/>
        <v>8.774512440944882</v>
      </c>
      <c r="W78" s="40">
        <f t="shared" si="89"/>
        <v>10.493293617021266</v>
      </c>
      <c r="X78" s="40">
        <f t="shared" si="89"/>
        <v>10.770417184643518</v>
      </c>
      <c r="Y78" s="40">
        <f t="shared" ref="Y78:AA78" si="90">Y72/Y12</f>
        <v>9.9873508353222267</v>
      </c>
      <c r="Z78" s="40">
        <f t="shared" si="90"/>
        <v>10.077534285714352</v>
      </c>
      <c r="AA78" s="40">
        <f t="shared" si="90"/>
        <v>12.064690977443609</v>
      </c>
      <c r="AB78" s="40">
        <f>AB72/AB12</f>
        <v>5.8800545688545691</v>
      </c>
      <c r="AC78" s="40">
        <f>AC72/AC12</f>
        <v>12.156134519572944</v>
      </c>
      <c r="AD78" s="40">
        <f>AD72/AD12</f>
        <v>12.343808965517253</v>
      </c>
      <c r="AE78" s="51"/>
      <c r="AF78" s="51"/>
      <c r="AG78" s="51"/>
      <c r="AH78" s="51"/>
      <c r="AI78" s="51"/>
      <c r="AJ78" s="51"/>
      <c r="AK78" s="51"/>
    </row>
    <row r="81" spans="2:37" x14ac:dyDescent="0.2">
      <c r="B81" s="29" t="s">
        <v>107</v>
      </c>
    </row>
    <row r="82" spans="2:37" s="82" customFormat="1" x14ac:dyDescent="0.2">
      <c r="B82" s="82" t="s">
        <v>122</v>
      </c>
      <c r="D82" s="83"/>
      <c r="F82" s="83"/>
      <c r="H82" s="83"/>
      <c r="J82" s="83"/>
      <c r="L82" s="83"/>
      <c r="N82" s="83"/>
      <c r="P82" s="83"/>
      <c r="R82" s="83"/>
      <c r="AC82" s="82">
        <f>150.6-4.2</f>
        <v>146.4</v>
      </c>
      <c r="AD82" s="82">
        <f>177.9-10.5</f>
        <v>167.4</v>
      </c>
      <c r="AE82" s="84"/>
      <c r="AF82" s="84"/>
      <c r="AG82" s="84"/>
      <c r="AH82" s="84"/>
      <c r="AI82" s="84"/>
      <c r="AJ82" s="84"/>
      <c r="AK82" s="84"/>
    </row>
    <row r="83" spans="2:37" s="82" customFormat="1" x14ac:dyDescent="0.2">
      <c r="B83" s="82" t="s">
        <v>123</v>
      </c>
      <c r="D83" s="83"/>
      <c r="F83" s="83"/>
      <c r="H83" s="83"/>
      <c r="J83" s="83"/>
      <c r="L83" s="83"/>
      <c r="N83" s="83"/>
      <c r="P83" s="83"/>
      <c r="R83" s="83"/>
      <c r="AC83" s="82">
        <f>32.6+29.1</f>
        <v>61.7</v>
      </c>
      <c r="AD83" s="82">
        <f>21.9+0.6</f>
        <v>22.5</v>
      </c>
      <c r="AE83" s="84"/>
      <c r="AF83" s="84"/>
      <c r="AG83" s="84"/>
      <c r="AH83" s="84"/>
      <c r="AI83" s="84"/>
      <c r="AJ83" s="84"/>
      <c r="AK83" s="84"/>
    </row>
    <row r="84" spans="2:37" s="82" customFormat="1" x14ac:dyDescent="0.2">
      <c r="B84" s="82" t="s">
        <v>124</v>
      </c>
      <c r="D84" s="83"/>
      <c r="F84" s="83"/>
      <c r="H84" s="83"/>
      <c r="J84" s="83"/>
      <c r="L84" s="83"/>
      <c r="N84" s="83"/>
      <c r="P84" s="83"/>
      <c r="R84" s="83"/>
      <c r="AC84" s="84">
        <f>AC82-AC83</f>
        <v>84.7</v>
      </c>
      <c r="AD84" s="82">
        <f>AD82-AD83</f>
        <v>144.9</v>
      </c>
      <c r="AE84" s="84"/>
      <c r="AF84" s="84"/>
      <c r="AG84" s="84"/>
      <c r="AH84" s="84"/>
      <c r="AI84" s="84"/>
      <c r="AJ84" s="84"/>
      <c r="AK84" s="84"/>
    </row>
    <row r="86" spans="2:37" s="37" customFormat="1" x14ac:dyDescent="0.2">
      <c r="B86" s="37" t="s">
        <v>125</v>
      </c>
      <c r="D86" s="38"/>
      <c r="F86" s="38"/>
      <c r="H86" s="38"/>
      <c r="J86" s="38"/>
      <c r="L86" s="38"/>
      <c r="N86" s="38"/>
      <c r="P86" s="38"/>
      <c r="R86" s="38"/>
      <c r="AC86" s="50">
        <f>AC84/AC14</f>
        <v>0.38960441582336708</v>
      </c>
      <c r="AD86" s="37">
        <f>AD84/AD14</f>
        <v>0.66651333946642133</v>
      </c>
      <c r="AE86" s="50"/>
      <c r="AF86" s="50"/>
      <c r="AG86" s="50"/>
      <c r="AH86" s="50"/>
      <c r="AI86" s="50"/>
      <c r="AJ86" s="50"/>
      <c r="AK86" s="50"/>
    </row>
    <row r="87" spans="2:37" s="40" customFormat="1" x14ac:dyDescent="0.2">
      <c r="B87" s="40" t="s">
        <v>126</v>
      </c>
      <c r="D87" s="41"/>
      <c r="F87" s="41"/>
      <c r="H87" s="41"/>
      <c r="J87" s="41"/>
      <c r="L87" s="41"/>
      <c r="N87" s="41"/>
      <c r="P87" s="41"/>
      <c r="R87" s="41"/>
      <c r="AC87" s="51">
        <f>AC70/AC86</f>
        <v>3.9750576151121604</v>
      </c>
      <c r="AD87" s="40">
        <f>AD70/AD86</f>
        <v>2.404903105590062</v>
      </c>
      <c r="AE87" s="51"/>
      <c r="AF87" s="51"/>
      <c r="AG87" s="51"/>
      <c r="AH87" s="51"/>
      <c r="AI87" s="51"/>
      <c r="AJ87" s="51"/>
      <c r="AK87" s="51"/>
    </row>
  </sheetData>
  <phoneticPr fontId="5" type="noConversion"/>
  <hyperlinks>
    <hyperlink ref="AB1" r:id="rId1" xr:uid="{596F9973-92FB-3340-BC7A-375E4C25351C}"/>
    <hyperlink ref="Z1" r:id="rId2" xr:uid="{92846B6F-2839-284E-AA85-90B408C1E203}"/>
    <hyperlink ref="X1" r:id="rId3" xr:uid="{13285A00-2106-4F98-B9F0-34A6A260A094}"/>
    <hyperlink ref="V1" r:id="rId4" xr:uid="{769CF0C5-F50D-4DA3-90F8-F8D13713771E}"/>
    <hyperlink ref="O1" r:id="rId5" xr:uid="{269C442D-1224-4529-B6A0-B4A457C4FBF1}"/>
    <hyperlink ref="AD1" r:id="rId6" xr:uid="{C99FBCF4-17C5-4F70-83A9-AB7C8C688FA4}"/>
  </hyperlinks>
  <pageMargins left="0.7" right="0.7" top="0.75" bottom="0.75" header="0.3" footer="0.3"/>
  <pageSetup orientation="portrait" r:id="rId7"/>
  <ignoredErrors>
    <ignoredError sqref="Z9 AE11:AK11 AE7 AF7:AK7 O7 M7 M11 AC11 N6:N13 AE9:AK9" formula="1"/>
  </ignoredError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99091-B771-4659-9332-5B81EA28D27A}">
  <dimension ref="A1"/>
  <sheetViews>
    <sheetView workbookViewId="0">
      <selection activeCell="V16" sqref="V16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Charlie H</cp:lastModifiedBy>
  <dcterms:created xsi:type="dcterms:W3CDTF">2023-04-16T19:38:52Z</dcterms:created>
  <dcterms:modified xsi:type="dcterms:W3CDTF">2024-11-06T22:24:00Z</dcterms:modified>
</cp:coreProperties>
</file>