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B481464-B497-433E-AC6D-3645A69EC9DC}" xr6:coauthVersionLast="36" xr6:coauthVersionMax="47" xr10:uidLastSave="{00000000-0000-0000-0000-000000000000}"/>
  <bookViews>
    <workbookView xWindow="4665" yWindow="495" windowWidth="2764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" i="1" l="1"/>
  <c r="AE9" i="1"/>
  <c r="AB9" i="1"/>
  <c r="AA9" i="1"/>
  <c r="Z9" i="1"/>
  <c r="Y9" i="1"/>
  <c r="K7" i="1" l="1"/>
  <c r="L7" i="1"/>
  <c r="R7" i="1"/>
  <c r="Q7" i="1"/>
  <c r="X7" i="1"/>
  <c r="W7" i="1"/>
  <c r="AB7" i="1"/>
  <c r="T7" i="1"/>
  <c r="AE7" i="1"/>
  <c r="AG7" i="1"/>
  <c r="Z7" i="1"/>
  <c r="Y7" i="1"/>
  <c r="J7" i="1"/>
  <c r="V7" i="1"/>
  <c r="S7" i="1" l="1"/>
  <c r="O7" i="1"/>
  <c r="AA7" i="1"/>
  <c r="AD9" i="1" l="1"/>
  <c r="K9" i="1"/>
  <c r="J9" i="1"/>
  <c r="P7" i="1" l="1"/>
  <c r="AG10" i="1"/>
  <c r="AF10" i="1"/>
  <c r="AE10" i="1"/>
  <c r="AB10" i="1"/>
  <c r="AA10" i="1"/>
  <c r="Z10" i="1"/>
  <c r="Y10" i="1"/>
  <c r="S10" i="1"/>
  <c r="M10" i="1"/>
  <c r="K10" i="1"/>
  <c r="AI11" i="1" l="1"/>
  <c r="AI15" i="1" l="1"/>
  <c r="AI1" i="1" s="1"/>
  <c r="AJ9" i="1" l="1"/>
  <c r="AK9" i="1"/>
  <c r="AJ23" i="1" l="1"/>
  <c r="AK23" i="1"/>
  <c r="I23" i="1"/>
  <c r="G23" i="1"/>
  <c r="F23" i="1"/>
  <c r="S16" i="1" l="1"/>
  <c r="R16" i="1"/>
  <c r="AF16" i="1"/>
  <c r="AG16" i="1"/>
  <c r="V16" i="1" l="1"/>
  <c r="P16" i="1"/>
  <c r="O16" i="1"/>
  <c r="AE16" i="1"/>
  <c r="Y16" i="1"/>
  <c r="AB12" i="1"/>
  <c r="AB15" i="1"/>
  <c r="AK16" i="1"/>
  <c r="AJ16" i="1"/>
  <c r="K16" i="1"/>
  <c r="J16" i="1"/>
  <c r="F16" i="1"/>
  <c r="AE8" i="1" l="1"/>
  <c r="AF8" i="1" l="1"/>
  <c r="AB8" i="1"/>
  <c r="AA8" i="1"/>
  <c r="Z8" i="1"/>
  <c r="Y8" i="1"/>
  <c r="K8" i="1"/>
  <c r="AF12" i="1" l="1"/>
  <c r="AE12" i="1"/>
  <c r="AD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J13" i="1" l="1"/>
  <c r="AK13" i="1"/>
  <c r="F13" i="1"/>
  <c r="H13" i="1"/>
  <c r="I13" i="1" l="1"/>
  <c r="F12" i="1"/>
  <c r="J11" i="1" l="1"/>
  <c r="AJ11" i="1" l="1"/>
  <c r="AK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J3" i="1"/>
  <c r="AK3" i="1"/>
  <c r="V14" i="1" l="1"/>
  <c r="AB14" i="1" l="1"/>
  <c r="AA14" i="1"/>
  <c r="Z14" i="1"/>
  <c r="Y14" i="1"/>
  <c r="AD7" i="1"/>
  <c r="AE14" i="1"/>
  <c r="J14" i="1" l="1"/>
  <c r="AH7" i="1"/>
  <c r="AK7" i="1"/>
  <c r="AJ7" i="1"/>
  <c r="I7" i="1" l="1"/>
  <c r="H7" i="1"/>
  <c r="G7" i="1"/>
  <c r="F7" i="1"/>
  <c r="AE4" i="1"/>
  <c r="Z4" i="1" l="1"/>
  <c r="Y4" i="1"/>
  <c r="AB4" i="1" l="1"/>
  <c r="AK14" i="1"/>
  <c r="AJ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K10" i="1" l="1"/>
  <c r="AH10" i="1"/>
  <c r="AJ10" i="1"/>
  <c r="J10" i="1"/>
  <c r="F10" i="1" l="1"/>
  <c r="L4" i="1" l="1"/>
  <c r="R4" i="1"/>
  <c r="V4" i="1"/>
  <c r="T4" i="1"/>
  <c r="AH4" i="1" l="1"/>
  <c r="AK4" i="1"/>
  <c r="AJ4" i="1"/>
  <c r="J4" i="1"/>
  <c r="I4" i="1"/>
  <c r="H4" i="1"/>
  <c r="G4" i="1"/>
  <c r="F4" i="1"/>
  <c r="AH5" i="1" l="1"/>
  <c r="AK5" i="1"/>
  <c r="AJ5" i="1"/>
  <c r="AK15" i="1" l="1"/>
  <c r="AJ15" i="1"/>
  <c r="AK8" i="1" l="1"/>
  <c r="AJ8" i="1"/>
  <c r="AK6" i="1" l="1"/>
  <c r="AJ6" i="1"/>
  <c r="AH6" i="1"/>
  <c r="AJ12" i="1" l="1"/>
  <c r="AK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l="1"/>
  <c r="W12" i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AE1" i="1" s="1"/>
  <c r="U15" i="1"/>
  <c r="Z15" i="1" l="1"/>
  <c r="AA15" i="1" l="1"/>
  <c r="N15" i="1"/>
  <c r="X15" i="1" l="1"/>
  <c r="X1" i="1" s="1"/>
  <c r="W15" i="1"/>
  <c r="W1" i="1" s="1"/>
  <c r="V15" i="1"/>
  <c r="V1" i="1" s="1"/>
  <c r="Y15" i="1"/>
  <c r="Y1" i="1" s="1"/>
  <c r="H15" i="1" l="1"/>
  <c r="O15" i="1" l="1"/>
  <c r="Q15" i="1"/>
  <c r="P15" i="1" l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  <c r="AD16" i="1"/>
  <c r="T16" i="1" l="1"/>
  <c r="H16" i="1" l="1"/>
  <c r="G16" i="1" l="1"/>
  <c r="I16" i="1" l="1"/>
  <c r="L16" i="1"/>
  <c r="Z16" i="1"/>
  <c r="Z1" i="1" s="1"/>
  <c r="AB16" i="1" l="1"/>
  <c r="AB1" i="1" s="1"/>
  <c r="AA16" i="1" l="1"/>
  <c r="AA1" i="1" s="1"/>
  <c r="T15" i="1" l="1"/>
  <c r="R15" i="1" l="1"/>
  <c r="R1" i="1" s="1"/>
  <c r="G15" i="1" l="1"/>
  <c r="I15" i="1" l="1"/>
  <c r="L15" i="1" l="1"/>
  <c r="S15" i="1" l="1"/>
  <c r="S1" i="1" s="1"/>
  <c r="T9" i="1" l="1"/>
  <c r="T1" i="1" s="1"/>
  <c r="H9" i="1"/>
  <c r="I9" i="1" l="1"/>
</calcChain>
</file>

<file path=xl/sharedStrings.xml><?xml version="1.0" encoding="utf-8"?>
<sst xmlns="http://schemas.openxmlformats.org/spreadsheetml/2006/main" count="859" uniqueCount="545">
  <si>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</si>
  <si>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</si>
  <si>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</si>
  <si>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</si>
  <si>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</si>
  <si>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</si>
  <si>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</si>
  <si>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</si>
  <si>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</si>
  <si>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</si>
  <si>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</si>
  <si>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</si>
  <si>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</si>
  <si>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</si>
  <si>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</si>
  <si>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</si>
  <si>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</si>
  <si>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</si>
  <si>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</si>
  <si>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</si>
  <si>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</si>
  <si>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</si>
  <si>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</si>
  <si>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</si>
  <si>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</si>
  <si>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</si>
  <si>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</si>
  <si>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</si>
  <si>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</si>
  <si>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</si>
  <si>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</si>
  <si>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</si>
  <si>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</si>
  <si>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</si>
  <si>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</si>
  <si>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</si>
  <si>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</si>
  <si>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</si>
  <si>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</si>
  <si>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</si>
  <si>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</si>
  <si>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</si>
  <si>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</si>
  <si>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</si>
  <si>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</si>
  <si>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</si>
  <si>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</si>
  <si>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</si>
  <si>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</si>
  <si>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</si>
  <si>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</si>
  <si>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</si>
  <si>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</si>
  <si>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</si>
  <si>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</si>
  <si>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</si>
  <si>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</si>
  <si>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</si>
  <si>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</si>
  <si>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</si>
  <si>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</si>
  <si>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</si>
  <si>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</si>
  <si>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</si>
  <si>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</si>
  <si>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</si>
  <si>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</si>
  <si>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</si>
  <si>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</si>
  <si>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</si>
  <si>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</si>
  <si>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</si>
  <si>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</si>
  <si>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</si>
  <si>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</si>
  <si>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</si>
  <si>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</si>
  <si>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</si>
  <si>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</si>
  <si>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</si>
  <si>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</si>
  <si>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</si>
  <si>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</si>
  <si>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</si>
  <si>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</si>
  <si>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</si>
  <si>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</si>
  <si>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</si>
  <si>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</si>
  <si>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</si>
  <si>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</si>
  <si>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</si>
  <si>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</si>
  <si>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</si>
  <si>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</si>
  <si>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</si>
  <si>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</si>
  <si>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</si>
  <si>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</si>
  <si>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</si>
  <si>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</si>
  <si>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</si>
  <si>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</si>
  <si>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</si>
  <si>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</si>
  <si>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</si>
  <si>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</si>
  <si>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</si>
  <si>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</si>
  <si>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</si>
  <si>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</si>
  <si>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</si>
  <si>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</si>
  <si>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</si>
  <si>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</si>
  <si>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</si>
  <si>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</si>
  <si>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</si>
  <si>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</si>
  <si>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</si>
  <si>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</si>
  <si>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</si>
  <si>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</si>
  <si>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</si>
  <si>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</si>
  <si>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</si>
  <si>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</si>
  <si>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</si>
  <si>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</si>
  <si>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</si>
  <si>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</si>
  <si>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</si>
  <si>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</si>
  <si>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</si>
  <si>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</si>
  <si>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</si>
  <si>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</si>
  <si>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</si>
  <si>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</si>
  <si>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</si>
  <si>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</si>
  <si>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</si>
  <si>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</si>
  <si>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</si>
  <si>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</si>
  <si>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</si>
  <si>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</si>
  <si>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</si>
  <si>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</si>
  <si>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</si>
  <si>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</si>
  <si>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</si>
  <si>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</si>
  <si>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</si>
  <si>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</si>
  <si>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</si>
  <si>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</si>
  <si>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</si>
  <si>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</si>
  <si>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</si>
  <si>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</si>
  <si>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</si>
  <si>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</si>
  <si>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</si>
  <si>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</si>
  <si>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</si>
  <si>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</si>
  <si>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</si>
  <si>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</si>
  <si>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</si>
  <si>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</si>
  <si>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</si>
  <si>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</si>
  <si>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</si>
  <si>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</si>
  <si>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</si>
  <si>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</si>
  <si>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</si>
  <si>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</si>
  <si>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</si>
  <si>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</si>
  <si>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</si>
  <si>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</si>
  <si>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</si>
  <si>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</si>
  <si>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</si>
  <si>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</si>
  <si>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</si>
  <si>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</si>
  <si>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</si>
  <si>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</si>
  <si>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</si>
  <si>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</si>
  <si>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</si>
  <si>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</si>
  <si>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</si>
  <si>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</si>
  <si>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</si>
  <si>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</si>
  <si>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</si>
  <si>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</si>
  <si>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</si>
  <si>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</si>
  <si>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</si>
  <si>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</si>
  <si>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</si>
  <si>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</si>
  <si>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</si>
  <si>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</si>
  <si>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</si>
  <si>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</si>
  <si>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</si>
  <si>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</si>
  <si>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</si>
  <si>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</si>
  <si>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</si>
  <si>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</si>
  <si>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</si>
  <si>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</si>
  <si>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</si>
  <si>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</si>
  <si>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</si>
  <si>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</si>
  <si>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</si>
  <si>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</si>
  <si>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</si>
  <si>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</si>
  <si>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</si>
  <si>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</si>
  <si>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</si>
  <si>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</si>
  <si>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</si>
  <si>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</si>
  <si>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</si>
  <si>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</si>
  <si>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</si>
  <si>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</si>
  <si>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</si>
  <si>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</si>
  <si>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</si>
  <si>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</si>
  <si>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</si>
  <si>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</si>
  <si>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</si>
  <si>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</si>
  <si>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</si>
  <si>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</si>
  <si>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</si>
  <si>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</si>
  <si>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</si>
  <si>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</si>
  <si>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</si>
  <si>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</si>
  <si>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</si>
  <si>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</si>
  <si>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</si>
  <si>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</si>
  <si>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</si>
  <si>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</si>
  <si>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</si>
  <si>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</si>
  <si>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</si>
  <si>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</si>
  <si>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</si>
  <si>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</si>
  <si>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</si>
  <si>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</si>
  <si>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</si>
  <si>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</si>
  <si>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</si>
  <si>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</si>
  <si>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</si>
  <si>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</si>
  <si>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</si>
  <si>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</si>
  <si>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</si>
  <si>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</si>
  <si>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</si>
  <si>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</si>
  <si>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</si>
  <si>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</si>
  <si>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</si>
  <si>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</si>
  <si>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</si>
  <si>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</si>
  <si>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</si>
  <si>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</si>
  <si>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</si>
  <si>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</si>
  <si>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</si>
  <si>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</si>
  <si>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</si>
  <si>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</si>
  <si>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</si>
  <si>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</si>
  <si>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</si>
  <si>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</si>
  <si>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</si>
  <si>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</si>
  <si>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</si>
  <si>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</si>
  <si>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</si>
  <si>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</si>
  <si>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</si>
  <si>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</si>
  <si>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</si>
  <si>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</si>
  <si>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</si>
  <si>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</si>
  <si>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</si>
  <si>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</si>
  <si>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</si>
  <si>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</si>
  <si>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</si>
  <si>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</si>
  <si>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</si>
  <si>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</si>
  <si>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</si>
  <si>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</si>
  <si>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</si>
  <si>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</si>
  <si>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</si>
  <si>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</si>
  <si>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</si>
  <si>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</si>
  <si>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</si>
  <si>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</si>
  <si>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</si>
  <si>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</si>
  <si>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</si>
  <si>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</si>
  <si>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</si>
  <si>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</si>
  <si>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</si>
  <si>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</si>
  <si>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</si>
  <si>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</si>
  <si>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</si>
  <si>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</si>
  <si>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</si>
  <si>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</si>
  <si>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</si>
  <si>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</si>
  <si>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</si>
  <si>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</si>
  <si>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</si>
  <si>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</si>
  <si>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</si>
  <si>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</si>
  <si>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</si>
  <si>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</si>
  <si>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</si>
  <si>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</si>
  <si>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</si>
  <si>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</si>
  <si>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</si>
  <si>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</si>
  <si>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</si>
  <si>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</si>
  <si>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</si>
  <si>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</si>
  <si>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</si>
  <si>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</si>
  <si>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</si>
  <si>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</si>
  <si>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</si>
  <si>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</si>
  <si>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</si>
  <si>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</si>
  <si>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</si>
  <si>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</si>
  <si>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</si>
  <si>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</si>
  <si>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</si>
  <si>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</si>
  <si>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</si>
  <si>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</si>
  <si>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</si>
  <si>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</si>
  <si>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</si>
  <si>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</si>
  <si>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</si>
  <si>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</si>
  <si>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</si>
  <si>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</si>
  <si>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</si>
  <si>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</si>
  <si>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</si>
  <si>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</si>
  <si>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</si>
  <si>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</si>
  <si>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</si>
  <si>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</si>
  <si>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</si>
  <si>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</si>
  <si>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</si>
  <si>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</si>
  <si>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</si>
  <si>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</si>
  <si>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</si>
  <si>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</si>
  <si>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</si>
  <si>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</si>
  <si>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</si>
  <si>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</si>
  <si>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</si>
  <si>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</si>
  <si>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</si>
  <si>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</si>
  <si>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</si>
  <si>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</si>
  <si>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</si>
  <si>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</si>
  <si>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</si>
  <si>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</si>
  <si>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</si>
  <si>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</si>
  <si>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</si>
  <si>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</si>
  <si>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</si>
  <si>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</si>
  <si>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</si>
  <si>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</si>
  <si>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</si>
  <si>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</si>
  <si>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</si>
  <si>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</si>
  <si>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</si>
  <si>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</si>
  <si>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</si>
  <si>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</si>
  <si>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</si>
  <si>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</si>
  <si>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</si>
  <si>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</si>
  <si>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</si>
  <si>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</si>
  <si>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</si>
  <si>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</si>
  <si>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</si>
  <si>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</si>
  <si>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</si>
  <si>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</si>
  <si>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</si>
  <si>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</si>
  <si>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</si>
  <si>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</si>
  <si>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</si>
  <si>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</si>
  <si>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</si>
  <si>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</si>
  <si>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</si>
  <si>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</si>
  <si>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</si>
  <si>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</si>
  <si>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</si>
  <si>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</si>
  <si>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</si>
  <si>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</si>
  <si>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</si>
  <si>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</si>
  <si>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</si>
  <si>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</si>
  <si>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</si>
  <si>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</si>
  <si>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</si>
  <si>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</si>
  <si>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</si>
  <si>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</si>
  <si>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</si>
  <si>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</si>
  <si>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</si>
  <si>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</si>
  <si>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</si>
  <si>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</si>
  <si>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</si>
  <si>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</si>
  <si>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</si>
  <si>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</si>
  <si>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</si>
  <si>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</si>
  <si>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</si>
  <si>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</si>
  <si>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</si>
  <si>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</si>
  <si>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</si>
  <si>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</si>
  <si>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</si>
  <si>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</si>
  <si>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</si>
  <si>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</si>
  <si>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</si>
  <si>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</si>
  <si>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</si>
  <si>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</si>
  <si>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</si>
  <si>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</si>
  <si>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</si>
  <si>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</si>
  <si>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</si>
  <si>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</si>
  <si>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</si>
  <si>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</si>
  <si>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</si>
  <si>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</si>
  <si>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</si>
  <si>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</si>
  <si>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</si>
  <si>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</si>
  <si>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</si>
  <si>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</si>
  <si>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</si>
  <si>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</si>
  <si>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</si>
  <si>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</si>
  <si>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</si>
  <si>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</si>
  <si>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</si>
  <si>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</si>
  <si>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</si>
  <si>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</si>
  <si>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</si>
  <si>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</si>
  <si>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</si>
  <si>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</si>
  <si>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</si>
  <si>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</si>
  <si>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</si>
  <si>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</si>
  <si>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</si>
  <si>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</si>
  <si>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</si>
  <si>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</si>
  <si>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</si>
  <si>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</si>
  <si>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</si>
  <si>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</si>
  <si>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</si>
  <si>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</si>
  <si>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Acquired by £FRAS 2022</t>
  </si>
  <si>
    <t>Collapsed into administration Nov 2022</t>
  </si>
  <si>
    <t>£BRBY</t>
  </si>
  <si>
    <t>£MUL</t>
  </si>
  <si>
    <t>Mulberry Group Plc</t>
  </si>
  <si>
    <t>Avg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</si>
</sst>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8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8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2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7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6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169" fontId="1" fillId="0" borderId="0" xfId="0" applyNumberFormat="1" applyFont="1" applyFill="1"/>
    <xf numFmtId="167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18.78</v>
          </cell>
        </row>
        <row r="8">
          <cell r="C8">
            <v>947.28198000000009</v>
          </cell>
        </row>
        <row r="11">
          <cell r="C11">
            <v>65.737000000000023</v>
          </cell>
        </row>
        <row r="12">
          <cell r="C12">
            <v>881.54498000000012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-1.1403242455522447</v>
          </cell>
        </row>
        <row r="33">
          <cell r="C33">
            <v>-59.384665735624246</v>
          </cell>
        </row>
        <row r="35">
          <cell r="C35">
            <v>1.4078524676899669</v>
          </cell>
        </row>
        <row r="37">
          <cell r="C37">
            <v>4.2554718831983633</v>
          </cell>
        </row>
        <row r="38">
          <cell r="C38">
            <v>3.3517546100908753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6">
          <cell r="C26"/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89">
          <cell r="P89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5.75" thickBot="1" x14ac:dyDescent="0.3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5.75" thickBot="1" x14ac:dyDescent="0.3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5.75" thickBot="1" x14ac:dyDescent="0.3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5.75" thickBot="1" x14ac:dyDescent="0.3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5.75" thickBot="1" x14ac:dyDescent="0.3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5.75" thickBot="1" x14ac:dyDescent="0.3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5.75" thickBot="1" x14ac:dyDescent="0.3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5.75" thickBot="1" x14ac:dyDescent="0.3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5.75" thickBot="1" x14ac:dyDescent="0.3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5.75" thickBot="1" x14ac:dyDescent="0.3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5.75" thickBot="1" x14ac:dyDescent="0.3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L3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6" sqref="F16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4" width="9.140625" style="1"/>
    <col min="35" max="35" width="11.7109375" style="1" bestFit="1" customWidth="1"/>
    <col min="36" max="36" width="9.140625" style="1"/>
    <col min="37" max="37" width="20.7109375" style="1" bestFit="1" customWidth="1"/>
    <col min="38" max="38" width="33.85546875" style="1" bestFit="1" customWidth="1"/>
    <col min="39" max="16384" width="9.140625" style="1"/>
  </cols>
  <sheetData>
    <row r="1" spans="1:38" x14ac:dyDescent="0.2">
      <c r="D1" s="1"/>
      <c r="F1" s="137" t="s">
        <v>499</v>
      </c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03">
        <f>AVERAGE(R3:R16)</f>
        <v>3.9647010478488456</v>
      </c>
      <c r="S1" s="103">
        <f>AVERAGE(S3:S16)</f>
        <v>13.089040927547591</v>
      </c>
      <c r="T1" s="103">
        <f>AVERAGE(T3:T16)</f>
        <v>2.846561257217036</v>
      </c>
      <c r="U1" s="87"/>
      <c r="V1" s="116">
        <f t="shared" ref="V1:AB1" si="0">AVERAGE(V3:V16)</f>
        <v>0.16126232154194811</v>
      </c>
      <c r="W1" s="116">
        <f t="shared" si="0"/>
        <v>4.5363007282483075E-2</v>
      </c>
      <c r="X1" s="116">
        <f t="shared" si="0"/>
        <v>0.10365206955102663</v>
      </c>
      <c r="Y1" s="88">
        <f t="shared" si="0"/>
        <v>0.46787879188648185</v>
      </c>
      <c r="Z1" s="88">
        <f t="shared" si="0"/>
        <v>5.1210311162491959E-2</v>
      </c>
      <c r="AA1" s="88">
        <f t="shared" si="0"/>
        <v>3.2851044986440231E-2</v>
      </c>
      <c r="AB1" s="88">
        <f t="shared" si="0"/>
        <v>8.3267322765302784E-2</v>
      </c>
      <c r="AC1" s="87"/>
      <c r="AD1" s="89" t="s">
        <v>537</v>
      </c>
      <c r="AE1" s="88">
        <f>AVERAGE(AE3:AE16)</f>
        <v>0.25991330080014247</v>
      </c>
      <c r="AF1" s="88">
        <f>AVERAGE(AF3:AF16)</f>
        <v>9.2201518020198436E-2</v>
      </c>
      <c r="AG1" s="88">
        <f>AVERAGE(AG3:AG16)</f>
        <v>0.22865249992232137</v>
      </c>
      <c r="AH1" s="90">
        <f>AVERAGE(AH3:AH16)</f>
        <v>666.82189783024887</v>
      </c>
      <c r="AI1" s="131">
        <f>AVERAGE(AI3:AI16)</f>
        <v>3.8410007956855852</v>
      </c>
      <c r="AJ1" s="90"/>
    </row>
    <row r="2" spans="1:38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544</v>
      </c>
      <c r="AJ2" s="5" t="s">
        <v>521</v>
      </c>
      <c r="AK2" s="5" t="s">
        <v>522</v>
      </c>
      <c r="AL2" s="2" t="s">
        <v>538</v>
      </c>
    </row>
    <row r="3" spans="1:38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5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8116.08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J3" s="4">
        <f>[1]Main!$C$24</f>
        <v>1964</v>
      </c>
      <c r="AK3" s="4" t="str">
        <f>[1]Main!$C$23</f>
        <v>Beaverton, OR</v>
      </c>
    </row>
    <row r="4" spans="1:38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5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1966.7718</v>
      </c>
      <c r="AE4" s="53">
        <f>'[2]Financial Model'!$T$76</f>
        <v>0.9241949083593437</v>
      </c>
      <c r="AH4" s="57">
        <f>[2]Main!$C$25</f>
        <v>1297</v>
      </c>
      <c r="AI4" s="57"/>
      <c r="AJ4" s="4">
        <f>[2]Main!$C$24</f>
        <v>1899</v>
      </c>
      <c r="AK4" s="4" t="str">
        <f>[2]Main!$C$23</f>
        <v>Denver, US</v>
      </c>
    </row>
    <row r="5" spans="1:38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57"/>
      <c r="AJ5" s="4">
        <f>[3]Main!$C$24</f>
        <v>1864</v>
      </c>
      <c r="AK5" s="4" t="str">
        <f>[3]Main!$C$23</f>
        <v>Leicester, UK</v>
      </c>
    </row>
    <row r="6" spans="1:38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57"/>
      <c r="AJ6" s="4">
        <f>[4]Main!$C$24</f>
        <v>1981</v>
      </c>
      <c r="AK6" s="4" t="str">
        <f>[4]Main!$C$23</f>
        <v>Bury, UK</v>
      </c>
    </row>
    <row r="7" spans="1:38" s="96" customFormat="1" x14ac:dyDescent="0.2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3884.3565708599999</v>
      </c>
      <c r="H7" s="100">
        <f>[5]Main!$C$11</f>
        <v>-275.20000000000005</v>
      </c>
      <c r="I7" s="100">
        <f>[5]Main!$C$12</f>
        <v>4159.5565708599997</v>
      </c>
      <c r="J7" s="98" t="str">
        <f>[5]Main!$C$29</f>
        <v>FY22</v>
      </c>
      <c r="K7" s="134">
        <f>[5]Main!$D$29</f>
        <v>44765</v>
      </c>
      <c r="L7" s="133">
        <f>[5]Main!$C$36</f>
        <v>0.8656184985037354</v>
      </c>
      <c r="O7" s="96">
        <f>'[5]Financial Model'!$U$24</f>
        <v>256.89999999999992</v>
      </c>
      <c r="P7" s="132">
        <f>'[5]Financial Model'!$T$24</f>
        <v>-77.999999999999801</v>
      </c>
      <c r="Q7" s="55">
        <f>'[5]Financial Model'!$S$24</f>
        <v>100.99999999999994</v>
      </c>
      <c r="R7" s="133">
        <f>[5]Main!$C$35</f>
        <v>15.120111213935388</v>
      </c>
      <c r="S7" s="133">
        <f>'[5]Financial Model'!$U$87</f>
        <v>12.474551050136244</v>
      </c>
      <c r="T7" s="133">
        <f>[5]Main!$C$37</f>
        <v>2.9683299486932606</v>
      </c>
      <c r="U7" s="101"/>
      <c r="V7" s="101">
        <f>'[5]Financial Model'!$U$28</f>
        <v>0.3254903042506827</v>
      </c>
      <c r="W7" s="101">
        <f>'[5]Financial Model'!$T$28</f>
        <v>-8.3918734522666405E-2</v>
      </c>
      <c r="X7" s="101">
        <f>'[5]Financial Model'!$S$28</f>
        <v>6.9018612064075224E-2</v>
      </c>
      <c r="Y7" s="101">
        <f>'[5]Financial Model'!$U$31</f>
        <v>0.43466588974673792</v>
      </c>
      <c r="Z7" s="101">
        <f>'[5]Financial Model'!$U$32</f>
        <v>6.8757413689051639E-2</v>
      </c>
      <c r="AA7" s="101">
        <f>'[5]Financial Model'!$U$33</f>
        <v>5.3461802592970245E-2</v>
      </c>
      <c r="AB7" s="101">
        <f>'[5]Financial Model'!$U$34</f>
        <v>0.2345053635280096</v>
      </c>
      <c r="AD7" s="100">
        <f>[5]Main!$C$27</f>
        <v>1277.5999999999999</v>
      </c>
      <c r="AE7" s="101">
        <f>'[5]Financial Model'!$U$76</f>
        <v>0.16505562648185301</v>
      </c>
      <c r="AF7" s="98"/>
      <c r="AG7" s="101">
        <f>'[5]Financial Model'!$U$78</f>
        <v>0.26587309845379059</v>
      </c>
      <c r="AH7" s="98">
        <f>[5]Main!$C$26</f>
        <v>0</v>
      </c>
      <c r="AI7" s="98"/>
      <c r="AJ7" s="98">
        <f>[5]Main!$C$24</f>
        <v>1982</v>
      </c>
      <c r="AK7" s="98" t="str">
        <f>[5]Main!$C$23</f>
        <v>Mansfiled, UK</v>
      </c>
    </row>
    <row r="8" spans="1:38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907.55280000000005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57"/>
      <c r="AJ8" s="4">
        <f>[6]Main!$C$24</f>
        <v>1996</v>
      </c>
      <c r="AK8" s="4" t="str">
        <f>[6]Main!$C$23</f>
        <v>Baltimore, US</v>
      </c>
    </row>
    <row r="9" spans="1:38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21.4452</v>
      </c>
      <c r="G9" s="49">
        <f>[7]Main!$C$8*$E$27</f>
        <v>1976.693296032</v>
      </c>
      <c r="H9" s="49">
        <f>[7]Main!$C$11</f>
        <v>389.041</v>
      </c>
      <c r="I9" s="49">
        <f>[7]Main!$C$12</f>
        <v>1964.1653048000001</v>
      </c>
      <c r="J9" s="98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53"/>
      <c r="Y9" s="53">
        <f>'[7]Financial Model'!$M$25</f>
        <v>0.30377615499736671</v>
      </c>
      <c r="Z9" s="53">
        <f>'[7]Financial Model'!$M$26</f>
        <v>4.8766791820982473E-2</v>
      </c>
      <c r="AA9" s="53">
        <f>'[7]Financial Model'!$M$27</f>
        <v>3.1676548837834495E-2</v>
      </c>
      <c r="AB9" s="53">
        <f>'[7]Financial Model'!$M$28</f>
        <v>0.28811258341459722</v>
      </c>
      <c r="AD9" s="56">
        <f>[7]Main!$C$26</f>
        <v>743.57899999999995</v>
      </c>
      <c r="AE9" s="53">
        <f>'[7]Financial Model'!$M$63</f>
        <v>0.18573663337601642</v>
      </c>
      <c r="AF9" s="53">
        <f>'[7]Financial Model'!$M$64</f>
        <v>6.610282247080157E-2</v>
      </c>
      <c r="AJ9" s="4">
        <f>[7]Main!$C$24</f>
        <v>1970</v>
      </c>
      <c r="AK9" s="4" t="str">
        <f>[7]Main!$C$23</f>
        <v>Philadelphia, PA</v>
      </c>
    </row>
    <row r="10" spans="1:38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1955.5551791999997</v>
      </c>
      <c r="H10" s="49">
        <f>[8]Main!$C$11*$E$27</f>
        <v>-233.77871999999999</v>
      </c>
      <c r="I10" s="49">
        <f>[8]Main!$C$12*$E$27</f>
        <v>2189.3338991999999</v>
      </c>
      <c r="J10" s="4" t="str">
        <f>[8]Main!$C$28</f>
        <v>Q222</v>
      </c>
      <c r="K10" s="85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Model'!$Z$17*E27</f>
        <v>352.48583999999988</v>
      </c>
      <c r="P10" s="56">
        <f>'[8]Financial Model'!$Y$17*F27</f>
        <v>-249.21071428571454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53"/>
      <c r="V10" s="53">
        <f>'[8]Financial Model'!$Z$21</f>
        <v>0.33299379683036578</v>
      </c>
      <c r="X10" s="4"/>
      <c r="Y10" s="53">
        <f>'[8]Financial Model'!$P$24</f>
        <v>0.30883030470969619</v>
      </c>
      <c r="Z10" s="53">
        <f>'[8]Financial Model'!$P$25</f>
        <v>1.1696619047778077E-2</v>
      </c>
      <c r="AA10" s="53">
        <f>'[8]Financial Model'!$P$26</f>
        <v>-3.5443743719347866E-2</v>
      </c>
      <c r="AB10" s="53">
        <f>'[8]Financial Model'!$P$27</f>
        <v>0.10849393290506794</v>
      </c>
      <c r="AD10" s="56">
        <f>[8]Main!$C$26*E27</f>
        <v>577.11864000000003</v>
      </c>
      <c r="AE10" s="53">
        <f>'[8]Financial Model'!$P$72</f>
        <v>0.36452124796676122</v>
      </c>
      <c r="AF10" s="53">
        <f>'[8]Financial Model'!$P$73</f>
        <v>7.2511361970386545E-3</v>
      </c>
      <c r="AG10" s="53">
        <f>'[8]Financial Model'!$P$89</f>
        <v>0.13644925222077642</v>
      </c>
      <c r="AH10" s="57">
        <f>[8]Main!$C$25</f>
        <v>1160</v>
      </c>
      <c r="AI10" s="57"/>
      <c r="AJ10" s="4">
        <f>[8]Main!$C$24</f>
        <v>1977</v>
      </c>
      <c r="AK10" s="4" t="str">
        <f>[8]Main!$C$23</f>
        <v>Pittsburgh, US</v>
      </c>
    </row>
    <row r="11" spans="1:38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86">
        <f>'[9]Financial Model'!$T$19</f>
        <v>6.6487661424370348E-3</v>
      </c>
      <c r="V11" s="86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130">
        <f>[9]Main!$C$42</f>
        <v>3.5843551695103639</v>
      </c>
      <c r="AJ11" s="4">
        <f>[9]Main!$C$24</f>
        <v>2000</v>
      </c>
      <c r="AK11" s="84" t="str">
        <f>[9]Main!$C$23</f>
        <v>London, UK</v>
      </c>
    </row>
    <row r="12" spans="1:38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15.7752</v>
      </c>
      <c r="G12" s="49">
        <f>[10]Main!$C$8*E27</f>
        <v>795.71686320000003</v>
      </c>
      <c r="H12" s="49">
        <f>[10]Main!$C$11*E27</f>
        <v>55.219080000000019</v>
      </c>
      <c r="I12" s="49">
        <f>[10]Main!$C$12*E27</f>
        <v>740.49778320000007</v>
      </c>
      <c r="J12" s="4" t="str">
        <f>[10]Main!$C$27</f>
        <v>Q222</v>
      </c>
      <c r="K12" s="85">
        <f>[10]Main!$D$27</f>
        <v>44798</v>
      </c>
      <c r="L12" s="50">
        <f>[10]Main!$C$32</f>
        <v>-1.1403242455522447</v>
      </c>
      <c r="M12" s="50">
        <f>[10]Main!$C$38</f>
        <v>3.3517546100908753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-59.384665735624246</v>
      </c>
      <c r="S12" s="52">
        <f>[10]Main!$C$37</f>
        <v>4.2554718831983633</v>
      </c>
      <c r="T12" s="52">
        <f>[10]Main!$C$35</f>
        <v>1.4078524676899669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Model'!$P$41*E27</f>
        <v>594.74015999999995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57"/>
      <c r="AJ12" s="4">
        <f>[10]Main!$C$24</f>
        <v>1892</v>
      </c>
      <c r="AK12" s="4" t="str">
        <f>[10]Main!$C$23</f>
        <v>Ohio, US</v>
      </c>
    </row>
    <row r="13" spans="1:38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53"/>
      <c r="AJ13" s="4">
        <f>[11]Main!$C$24</f>
        <v>2006</v>
      </c>
      <c r="AK13" s="4" t="str">
        <f>[11]Main!$C$23</f>
        <v>Manchester, UK</v>
      </c>
    </row>
    <row r="14" spans="1:38" s="108" customFormat="1" x14ac:dyDescent="0.2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10" t="str">
        <f>[12]Main!$C$28</f>
        <v>FY22</v>
      </c>
      <c r="K14" s="110"/>
      <c r="Q14" s="110"/>
      <c r="U14" s="114"/>
      <c r="V14" s="114">
        <f>'[12]Financial Model'!$T$23</f>
        <v>0.20588400900900905</v>
      </c>
      <c r="W14" s="110"/>
      <c r="X14" s="110"/>
      <c r="Y14" s="114">
        <f>'[12]Financial Model'!$T$26</f>
        <v>0.55486890948567691</v>
      </c>
      <c r="Z14" s="114">
        <f>'[12]Financial Model'!$T$27</f>
        <v>-8.0487007680993719E-2</v>
      </c>
      <c r="AA14" s="114">
        <f>'[12]Financial Model'!$T$28</f>
        <v>-8.2866014521513875E-2</v>
      </c>
      <c r="AB14" s="114">
        <f>'[12]Financial Model'!$T$29</f>
        <v>0.19258416742493159</v>
      </c>
      <c r="AD14" s="115">
        <f>[12]Main!$C$26</f>
        <v>103.071</v>
      </c>
      <c r="AE14" s="114">
        <f>'[12]Financial Model'!$T$74</f>
        <v>0.17328795191694746</v>
      </c>
      <c r="AF14" s="110"/>
      <c r="AG14" s="114">
        <f>'[12]Financial Model'!$T$76</f>
        <v>0.24063455746737328</v>
      </c>
      <c r="AH14" s="110">
        <f>[12]Main!$C$25</f>
        <v>85</v>
      </c>
      <c r="AI14" s="110"/>
      <c r="AJ14" s="110">
        <f>[12]Main!$C$24</f>
        <v>1987</v>
      </c>
      <c r="AK14" s="110" t="str">
        <f>[12]Main!$C$23</f>
        <v>London, UK</v>
      </c>
      <c r="AL14" s="108" t="s">
        <v>539</v>
      </c>
    </row>
    <row r="15" spans="1:38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5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130">
        <f>[13]Main!$C$42</f>
        <v>4.097646421860806</v>
      </c>
      <c r="AJ15" s="4">
        <f>[13]Main!$C$25</f>
        <v>1985</v>
      </c>
      <c r="AK15" s="4" t="str">
        <f>[13]Main!$C$24</f>
        <v>Cheltenham, UK</v>
      </c>
    </row>
    <row r="16" spans="1:38" s="91" customFormat="1" x14ac:dyDescent="0.2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05" t="str">
        <f>[14]Main!$C$28</f>
        <v>H122</v>
      </c>
      <c r="K16" s="106">
        <f>[14]Main!$D$28</f>
        <v>44600</v>
      </c>
      <c r="L16" s="128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7">
        <f>[14]Main!$C$37</f>
        <v>5.0560966752336345</v>
      </c>
      <c r="S16" s="107">
        <f>'[14]Financial Model'!$S$80</f>
        <v>3.3990470378499706</v>
      </c>
      <c r="T16" s="107">
        <f>[14]Main!$C$33</f>
        <v>0.20742534761796225</v>
      </c>
      <c r="U16" s="93"/>
      <c r="V16" s="94">
        <f>'[14]Financial Model'!$S$19</f>
        <v>4.2969896440400834E-2</v>
      </c>
      <c r="W16" s="93"/>
      <c r="Y16" s="94">
        <f>'[14]Financial Model'!$K$22</f>
        <v>0.50353090223741115</v>
      </c>
      <c r="Z16" s="94">
        <f>'[14]Financial Model'!$K$23</f>
        <v>2.5932384981739429E-2</v>
      </c>
      <c r="AA16" s="94">
        <f>'[14]Financial Model'!$K$24</f>
        <v>1.7767906718489747E-2</v>
      </c>
      <c r="AB16" s="94">
        <f>'[14]Financial Model'!$K$25</f>
        <v>0.10901960784313716</v>
      </c>
      <c r="AD16" s="95">
        <f>[14]Main!$C$26</f>
        <v>61.878</v>
      </c>
      <c r="AE16" s="94">
        <f>'[14]Financial Model'!$K$66</f>
        <v>0.44899775196702874</v>
      </c>
      <c r="AF16" s="94">
        <f>'[14]Financial Model'!$K$67</f>
        <v>0.32717055593685651</v>
      </c>
      <c r="AG16" s="94">
        <f>'[14]Financial Model'!$S$82</f>
        <v>0.23428321616827549</v>
      </c>
      <c r="AJ16" s="93">
        <f>[14]Main!$C$24</f>
        <v>1989</v>
      </c>
      <c r="AK16" s="91" t="str">
        <f>[14]Main!$C$23</f>
        <v>Market Harborough, UK</v>
      </c>
      <c r="AL16" s="91" t="s">
        <v>540</v>
      </c>
    </row>
    <row r="17" spans="2:37" x14ac:dyDescent="0.2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57"/>
      <c r="AJ17" s="4"/>
      <c r="AK17" s="4"/>
    </row>
    <row r="18" spans="2:37" x14ac:dyDescent="0.2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</row>
    <row r="19" spans="2:37" x14ac:dyDescent="0.2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7" x14ac:dyDescent="0.2">
      <c r="B20" s="1" t="s">
        <v>503</v>
      </c>
      <c r="C20" s="1" t="s">
        <v>504</v>
      </c>
      <c r="D20" s="4" t="s">
        <v>489</v>
      </c>
      <c r="G20" s="49"/>
      <c r="H20" s="49"/>
      <c r="I20" s="84"/>
      <c r="J20" s="1"/>
      <c r="K20" s="1"/>
      <c r="L20" s="56"/>
      <c r="M20" s="56"/>
      <c r="N20" s="56"/>
    </row>
    <row r="21" spans="2:37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7" x14ac:dyDescent="0.2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37" x14ac:dyDescent="0.2">
      <c r="B23" s="3" t="s">
        <v>541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4">
        <f>[15]Main!$C$12</f>
        <v>8041.1028800000004</v>
      </c>
      <c r="J23" s="1"/>
      <c r="K23" s="1"/>
      <c r="M23" s="56"/>
      <c r="N23" s="56"/>
      <c r="AJ23" s="4">
        <f>[15]Main!$C$24</f>
        <v>1856</v>
      </c>
      <c r="AK23" s="4" t="str">
        <f>[15]Main!$C$23</f>
        <v>London, UK</v>
      </c>
    </row>
    <row r="24" spans="2:37" x14ac:dyDescent="0.2">
      <c r="B24" s="1" t="s">
        <v>542</v>
      </c>
      <c r="C24" s="1" t="s">
        <v>543</v>
      </c>
      <c r="D24" s="4" t="s">
        <v>489</v>
      </c>
      <c r="E24" s="4" t="s">
        <v>15</v>
      </c>
      <c r="F24" s="7">
        <v>2.9</v>
      </c>
      <c r="G24" s="49"/>
      <c r="I24" s="4"/>
      <c r="J24" s="1"/>
      <c r="K24" s="1"/>
      <c r="M24" s="56"/>
      <c r="N24" s="56"/>
    </row>
    <row r="25" spans="2:37" x14ac:dyDescent="0.2">
      <c r="G25" s="49"/>
      <c r="I25" s="4"/>
      <c r="J25" s="1"/>
      <c r="K25" s="1"/>
      <c r="M25" s="56"/>
      <c r="N25" s="56"/>
    </row>
    <row r="26" spans="2:37" x14ac:dyDescent="0.2">
      <c r="D26" s="135" t="s">
        <v>495</v>
      </c>
      <c r="E26" s="136"/>
      <c r="F26" s="42" t="s">
        <v>496</v>
      </c>
      <c r="G26" s="49"/>
      <c r="I26" s="4"/>
      <c r="J26" s="1"/>
      <c r="K26" s="1"/>
    </row>
    <row r="27" spans="2:37" x14ac:dyDescent="0.2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7" x14ac:dyDescent="0.2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7" x14ac:dyDescent="0.2">
      <c r="G29" s="49"/>
    </row>
    <row r="30" spans="2:37" x14ac:dyDescent="0.2">
      <c r="G30" s="49"/>
    </row>
    <row r="31" spans="2:37" x14ac:dyDescent="0.2">
      <c r="G31" s="49"/>
    </row>
    <row r="32" spans="2:37" x14ac:dyDescent="0.2">
      <c r="G32" s="49"/>
    </row>
    <row r="33" spans="7:7" x14ac:dyDescent="0.2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2022-11-22T00:46:11Z</dcterms:modified>
</cp:coreProperties>
</file>