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uario\Documents\Ejercicios terminados\"/>
    </mc:Choice>
  </mc:AlternateContent>
  <xr:revisionPtr revIDLastSave="0" documentId="13_ncr:1_{D0ADD6D3-88B6-443C-80C0-0F2ED2EAEEA3}" xr6:coauthVersionLast="47" xr6:coauthVersionMax="47" xr10:uidLastSave="{00000000-0000-0000-0000-000000000000}"/>
  <bookViews>
    <workbookView xWindow="-120" yWindow="-120" windowWidth="29040" windowHeight="15840" tabRatio="752" xr2:uid="{00000000-000D-0000-FFFF-FFFF00000000}"/>
  </bookViews>
  <sheets>
    <sheet name="Concentrado octubre" sheetId="4" r:id="rId1"/>
    <sheet name="Resumen oct" sheetId="5" r:id="rId2"/>
    <sheet name="Concentrado septiembre" sheetId="8" r:id="rId3"/>
    <sheet name="Resumen sep" sheetId="9" r:id="rId4"/>
    <sheet name="Concentrado agosto" sheetId="10" r:id="rId5"/>
    <sheet name="Resumen ago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4" i="4" l="1"/>
  <c r="AC11" i="4"/>
  <c r="AC8" i="4" s="1"/>
  <c r="Z16" i="4"/>
  <c r="Z17" i="4"/>
  <c r="T15" i="8"/>
  <c r="I2" i="11"/>
  <c r="D58" i="11"/>
  <c r="E58" i="11"/>
  <c r="B61" i="11"/>
  <c r="D61" i="11"/>
  <c r="E61" i="11"/>
  <c r="F61" i="11" s="1"/>
  <c r="D62" i="11"/>
  <c r="G62" i="11"/>
  <c r="H62" i="11"/>
  <c r="I62" i="11"/>
  <c r="B63" i="11"/>
  <c r="D63" i="11"/>
  <c r="E63" i="11"/>
  <c r="F63" i="11" s="1"/>
  <c r="D64" i="11"/>
  <c r="G64" i="11"/>
  <c r="H64" i="11"/>
  <c r="I64" i="11"/>
  <c r="B65" i="11"/>
  <c r="D65" i="11"/>
  <c r="E65" i="11"/>
  <c r="F65" i="11" s="1"/>
  <c r="D66" i="11"/>
  <c r="D68" i="11" s="1"/>
  <c r="G66" i="11"/>
  <c r="H66" i="11"/>
  <c r="H68" i="11" s="1"/>
  <c r="H70" i="11" s="1"/>
  <c r="H72" i="11" s="1"/>
  <c r="H74" i="11" s="1"/>
  <c r="H76" i="11" s="1"/>
  <c r="H78" i="11" s="1"/>
  <c r="H80" i="11" s="1"/>
  <c r="H82" i="11" s="1"/>
  <c r="H84" i="11" s="1"/>
  <c r="H86" i="11" s="1"/>
  <c r="H88" i="11" s="1"/>
  <c r="I66" i="11"/>
  <c r="D67" i="11"/>
  <c r="E67" i="11"/>
  <c r="F67" i="11"/>
  <c r="G68" i="11"/>
  <c r="G70" i="11" s="1"/>
  <c r="G72" i="11" s="1"/>
  <c r="G74" i="11" s="1"/>
  <c r="G76" i="11" s="1"/>
  <c r="G78" i="11" s="1"/>
  <c r="G80" i="11" s="1"/>
  <c r="G82" i="11" s="1"/>
  <c r="G84" i="11" s="1"/>
  <c r="G86" i="11" s="1"/>
  <c r="I68" i="11"/>
  <c r="I70" i="11" s="1"/>
  <c r="D69" i="11"/>
  <c r="E69" i="11"/>
  <c r="F69" i="11" s="1"/>
  <c r="D71" i="11"/>
  <c r="E71" i="11"/>
  <c r="F71" i="11"/>
  <c r="D73" i="11"/>
  <c r="E73" i="11"/>
  <c r="F73" i="11" s="1"/>
  <c r="D75" i="11"/>
  <c r="E75" i="11"/>
  <c r="F75" i="11"/>
  <c r="D77" i="11"/>
  <c r="E77" i="11"/>
  <c r="F77" i="11" s="1"/>
  <c r="D79" i="11"/>
  <c r="E79" i="11"/>
  <c r="F79" i="11"/>
  <c r="D81" i="11"/>
  <c r="E81" i="11"/>
  <c r="F81" i="11" s="1"/>
  <c r="D83" i="11"/>
  <c r="E83" i="11"/>
  <c r="F83" i="11"/>
  <c r="D85" i="11"/>
  <c r="E85" i="11"/>
  <c r="F85" i="11" s="1"/>
  <c r="D87" i="11"/>
  <c r="E87" i="11"/>
  <c r="F87" i="11"/>
  <c r="G88" i="11"/>
  <c r="G90" i="11" s="1"/>
  <c r="G92" i="11" s="1"/>
  <c r="G94" i="11" s="1"/>
  <c r="G96" i="11" s="1"/>
  <c r="G98" i="11" s="1"/>
  <c r="G100" i="11" s="1"/>
  <c r="G102" i="11" s="1"/>
  <c r="G104" i="11" s="1"/>
  <c r="G106" i="11" s="1"/>
  <c r="G108" i="11" s="1"/>
  <c r="G110" i="11" s="1"/>
  <c r="G112" i="11" s="1"/>
  <c r="G114" i="11" s="1"/>
  <c r="G116" i="11" s="1"/>
  <c r="G118" i="11" s="1"/>
  <c r="G120" i="11" s="1"/>
  <c r="G122" i="11" s="1"/>
  <c r="D89" i="11"/>
  <c r="E89" i="11"/>
  <c r="F89" i="11" s="1"/>
  <c r="H90" i="11"/>
  <c r="H92" i="11" s="1"/>
  <c r="H94" i="11" s="1"/>
  <c r="H96" i="11" s="1"/>
  <c r="H98" i="11" s="1"/>
  <c r="H100" i="11" s="1"/>
  <c r="H102" i="11" s="1"/>
  <c r="H104" i="11" s="1"/>
  <c r="H106" i="11" s="1"/>
  <c r="H108" i="11" s="1"/>
  <c r="H110" i="11" s="1"/>
  <c r="H112" i="11" s="1"/>
  <c r="H114" i="11" s="1"/>
  <c r="H116" i="11" s="1"/>
  <c r="H118" i="11" s="1"/>
  <c r="H120" i="11" s="1"/>
  <c r="H122" i="11" s="1"/>
  <c r="D91" i="11"/>
  <c r="E91" i="11"/>
  <c r="F91" i="11"/>
  <c r="D93" i="11"/>
  <c r="E93" i="11"/>
  <c r="F93" i="11" s="1"/>
  <c r="D95" i="11"/>
  <c r="E95" i="11"/>
  <c r="F95" i="11"/>
  <c r="D97" i="11"/>
  <c r="E97" i="11"/>
  <c r="F97" i="11" s="1"/>
  <c r="D99" i="11"/>
  <c r="E99" i="11"/>
  <c r="F99" i="11"/>
  <c r="D101" i="11"/>
  <c r="E101" i="11"/>
  <c r="F101" i="11" s="1"/>
  <c r="D103" i="11"/>
  <c r="E103" i="11"/>
  <c r="F103" i="11"/>
  <c r="D105" i="11"/>
  <c r="E105" i="11"/>
  <c r="F105" i="11" s="1"/>
  <c r="D107" i="11"/>
  <c r="E107" i="11"/>
  <c r="F107" i="11"/>
  <c r="D109" i="11"/>
  <c r="E109" i="11"/>
  <c r="F109" i="11" s="1"/>
  <c r="D111" i="11"/>
  <c r="E111" i="11"/>
  <c r="F111" i="11"/>
  <c r="D113" i="11"/>
  <c r="E113" i="11"/>
  <c r="F113" i="11" s="1"/>
  <c r="F178" i="11" s="1"/>
  <c r="D115" i="11"/>
  <c r="E115" i="11"/>
  <c r="F115" i="11"/>
  <c r="D117" i="11"/>
  <c r="E117" i="11"/>
  <c r="F117" i="11" s="1"/>
  <c r="F182" i="11" s="1"/>
  <c r="D119" i="11"/>
  <c r="E119" i="11"/>
  <c r="F119" i="11"/>
  <c r="D121" i="11"/>
  <c r="E121" i="11"/>
  <c r="F121" i="11" s="1"/>
  <c r="D126" i="11"/>
  <c r="E126" i="11"/>
  <c r="F126" i="11"/>
  <c r="D127" i="11"/>
  <c r="D128" i="11"/>
  <c r="E128" i="11"/>
  <c r="F128" i="11"/>
  <c r="D129" i="11"/>
  <c r="D130" i="11"/>
  <c r="E130" i="11"/>
  <c r="F130" i="11"/>
  <c r="D131" i="11"/>
  <c r="D132" i="11"/>
  <c r="E132" i="11"/>
  <c r="F132" i="11"/>
  <c r="D133" i="11"/>
  <c r="D134" i="11"/>
  <c r="E134" i="11"/>
  <c r="F134" i="11"/>
  <c r="D136" i="11"/>
  <c r="E136" i="11"/>
  <c r="F136" i="11"/>
  <c r="D138" i="11"/>
  <c r="E138" i="11"/>
  <c r="F138" i="11"/>
  <c r="D140" i="11"/>
  <c r="E140" i="11"/>
  <c r="F140" i="11"/>
  <c r="D142" i="11"/>
  <c r="E142" i="11"/>
  <c r="F142" i="11"/>
  <c r="D144" i="11"/>
  <c r="E144" i="11"/>
  <c r="F144" i="11"/>
  <c r="D146" i="11"/>
  <c r="E146" i="11"/>
  <c r="F146" i="11"/>
  <c r="D148" i="11"/>
  <c r="E148" i="11"/>
  <c r="F148" i="11"/>
  <c r="D150" i="11"/>
  <c r="E150" i="11"/>
  <c r="F150" i="11"/>
  <c r="D152" i="11"/>
  <c r="E152" i="11"/>
  <c r="F152" i="11"/>
  <c r="D154" i="11"/>
  <c r="E154" i="11"/>
  <c r="F154" i="11"/>
  <c r="D156" i="11"/>
  <c r="E156" i="11"/>
  <c r="F156" i="11"/>
  <c r="D158" i="11"/>
  <c r="F158" i="11"/>
  <c r="D160" i="11"/>
  <c r="E160" i="11"/>
  <c r="F160" i="11"/>
  <c r="D162" i="11"/>
  <c r="E162" i="11"/>
  <c r="F162" i="11"/>
  <c r="D164" i="11"/>
  <c r="E164" i="11"/>
  <c r="F164" i="11"/>
  <c r="D166" i="11"/>
  <c r="E166" i="11"/>
  <c r="F166" i="11"/>
  <c r="D168" i="11"/>
  <c r="E168" i="11"/>
  <c r="F168" i="11"/>
  <c r="D170" i="11"/>
  <c r="F170" i="11"/>
  <c r="D172" i="11"/>
  <c r="E172" i="11"/>
  <c r="F172" i="11"/>
  <c r="D174" i="11"/>
  <c r="E174" i="11"/>
  <c r="F174" i="11"/>
  <c r="D176" i="11"/>
  <c r="E176" i="11"/>
  <c r="F176" i="11"/>
  <c r="D178" i="11"/>
  <c r="D180" i="11"/>
  <c r="E180" i="11"/>
  <c r="F180" i="11"/>
  <c r="D182" i="11"/>
  <c r="D184" i="11"/>
  <c r="E184" i="11"/>
  <c r="F184" i="11"/>
  <c r="D186" i="11"/>
  <c r="F186" i="11"/>
  <c r="AD6" i="10"/>
  <c r="AD7" i="10"/>
  <c r="AD10" i="10"/>
  <c r="AD16" i="10"/>
  <c r="G21" i="10"/>
  <c r="R4" i="10" s="1"/>
  <c r="N21" i="10"/>
  <c r="AE8" i="10" s="1"/>
  <c r="N23" i="10" s="1"/>
  <c r="G22" i="10"/>
  <c r="N22" i="10"/>
  <c r="G24" i="10"/>
  <c r="N24" i="10"/>
  <c r="N29" i="10"/>
  <c r="N30" i="10" s="1"/>
  <c r="I2" i="9"/>
  <c r="D58" i="9"/>
  <c r="E58" i="9"/>
  <c r="B61" i="9"/>
  <c r="D61" i="9"/>
  <c r="E61" i="9"/>
  <c r="D62" i="9"/>
  <c r="G62" i="9"/>
  <c r="H62" i="9"/>
  <c r="I62" i="9"/>
  <c r="B63" i="9"/>
  <c r="D63" i="9"/>
  <c r="E63" i="9"/>
  <c r="F63" i="9" s="1"/>
  <c r="D64" i="9"/>
  <c r="G64" i="9"/>
  <c r="H64" i="9"/>
  <c r="I64" i="9"/>
  <c r="B65" i="9"/>
  <c r="D65" i="9"/>
  <c r="E65" i="9"/>
  <c r="F65" i="9" s="1"/>
  <c r="D66" i="9"/>
  <c r="G66" i="9"/>
  <c r="H66" i="9"/>
  <c r="H68" i="9" s="1"/>
  <c r="I66" i="9"/>
  <c r="D67" i="9"/>
  <c r="E67" i="9"/>
  <c r="F67" i="9"/>
  <c r="G68" i="9"/>
  <c r="G70" i="9" s="1"/>
  <c r="G72" i="9" s="1"/>
  <c r="G74" i="9" s="1"/>
  <c r="G76" i="9" s="1"/>
  <c r="G78" i="9" s="1"/>
  <c r="G80" i="9" s="1"/>
  <c r="G82" i="9" s="1"/>
  <c r="G84" i="9" s="1"/>
  <c r="G86" i="9" s="1"/>
  <c r="G88" i="9" s="1"/>
  <c r="G90" i="9" s="1"/>
  <c r="G92" i="9" s="1"/>
  <c r="G94" i="9" s="1"/>
  <c r="G96" i="9" s="1"/>
  <c r="G98" i="9" s="1"/>
  <c r="G100" i="9" s="1"/>
  <c r="G102" i="9" s="1"/>
  <c r="G104" i="9" s="1"/>
  <c r="G106" i="9" s="1"/>
  <c r="G108" i="9" s="1"/>
  <c r="G110" i="9" s="1"/>
  <c r="G112" i="9" s="1"/>
  <c r="G114" i="9" s="1"/>
  <c r="G116" i="9" s="1"/>
  <c r="G118" i="9" s="1"/>
  <c r="G120" i="9" s="1"/>
  <c r="G122" i="9" s="1"/>
  <c r="I68" i="9"/>
  <c r="D69" i="9"/>
  <c r="E69" i="9"/>
  <c r="F69" i="9" s="1"/>
  <c r="H70" i="9"/>
  <c r="H72" i="9" s="1"/>
  <c r="H74" i="9" s="1"/>
  <c r="H76" i="9" s="1"/>
  <c r="H78" i="9" s="1"/>
  <c r="H80" i="9" s="1"/>
  <c r="H82" i="9" s="1"/>
  <c r="H84" i="9" s="1"/>
  <c r="H86" i="9" s="1"/>
  <c r="H88" i="9" s="1"/>
  <c r="H90" i="9" s="1"/>
  <c r="H92" i="9" s="1"/>
  <c r="H94" i="9" s="1"/>
  <c r="H96" i="9" s="1"/>
  <c r="H98" i="9" s="1"/>
  <c r="H100" i="9" s="1"/>
  <c r="H102" i="9" s="1"/>
  <c r="H104" i="9" s="1"/>
  <c r="H106" i="9" s="1"/>
  <c r="H108" i="9" s="1"/>
  <c r="H110" i="9" s="1"/>
  <c r="H112" i="9" s="1"/>
  <c r="H114" i="9" s="1"/>
  <c r="H116" i="9" s="1"/>
  <c r="H118" i="9" s="1"/>
  <c r="H120" i="9" s="1"/>
  <c r="H122" i="9" s="1"/>
  <c r="D71" i="9"/>
  <c r="E71" i="9"/>
  <c r="F71" i="9"/>
  <c r="D73" i="9"/>
  <c r="E73" i="9"/>
  <c r="F73" i="9" s="1"/>
  <c r="D75" i="9"/>
  <c r="E75" i="9"/>
  <c r="F75" i="9"/>
  <c r="D77" i="9"/>
  <c r="E77" i="9"/>
  <c r="F77" i="9" s="1"/>
  <c r="D79" i="9"/>
  <c r="E79" i="9"/>
  <c r="F79" i="9"/>
  <c r="D81" i="9"/>
  <c r="E81" i="9"/>
  <c r="F81" i="9" s="1"/>
  <c r="D83" i="9"/>
  <c r="E83" i="9"/>
  <c r="F83" i="9"/>
  <c r="D85" i="9"/>
  <c r="E85" i="9"/>
  <c r="F85" i="9" s="1"/>
  <c r="D87" i="9"/>
  <c r="E87" i="9"/>
  <c r="F87" i="9"/>
  <c r="D89" i="9"/>
  <c r="E89" i="9"/>
  <c r="F89" i="9" s="1"/>
  <c r="D91" i="9"/>
  <c r="E91" i="9"/>
  <c r="F91" i="9"/>
  <c r="D93" i="9"/>
  <c r="E93" i="9"/>
  <c r="F93" i="9" s="1"/>
  <c r="D95" i="9"/>
  <c r="E95" i="9"/>
  <c r="F95" i="9"/>
  <c r="D97" i="9"/>
  <c r="E97" i="9"/>
  <c r="F97" i="9" s="1"/>
  <c r="D99" i="9"/>
  <c r="E99" i="9"/>
  <c r="F99" i="9"/>
  <c r="D101" i="9"/>
  <c r="E101" i="9"/>
  <c r="F101" i="9" s="1"/>
  <c r="D103" i="9"/>
  <c r="E103" i="9"/>
  <c r="F103" i="9"/>
  <c r="D105" i="9"/>
  <c r="E105" i="9"/>
  <c r="F105" i="9" s="1"/>
  <c r="D107" i="9"/>
  <c r="E107" i="9"/>
  <c r="F107" i="9"/>
  <c r="D109" i="9"/>
  <c r="E109" i="9"/>
  <c r="F109" i="9" s="1"/>
  <c r="D111" i="9"/>
  <c r="E111" i="9"/>
  <c r="F111" i="9"/>
  <c r="D113" i="9"/>
  <c r="E113" i="9"/>
  <c r="F113" i="9"/>
  <c r="D115" i="9"/>
  <c r="E115" i="9"/>
  <c r="F115" i="9"/>
  <c r="D117" i="9"/>
  <c r="E117" i="9"/>
  <c r="F117" i="9"/>
  <c r="D119" i="9"/>
  <c r="E119" i="9"/>
  <c r="F119" i="9"/>
  <c r="D121" i="9"/>
  <c r="E121" i="9"/>
  <c r="F121" i="9" s="1"/>
  <c r="F186" i="9" s="1"/>
  <c r="E126" i="9"/>
  <c r="D127" i="9"/>
  <c r="D128" i="9"/>
  <c r="E128" i="9"/>
  <c r="F128" i="9"/>
  <c r="D129" i="9"/>
  <c r="D130" i="9"/>
  <c r="E130" i="9"/>
  <c r="F130" i="9"/>
  <c r="D131" i="9"/>
  <c r="D132" i="9"/>
  <c r="E132" i="9"/>
  <c r="F132" i="9"/>
  <c r="D134" i="9"/>
  <c r="E134" i="9"/>
  <c r="F134" i="9"/>
  <c r="D136" i="9"/>
  <c r="E136" i="9"/>
  <c r="F136" i="9"/>
  <c r="D138" i="9"/>
  <c r="E138" i="9"/>
  <c r="F138" i="9"/>
  <c r="D140" i="9"/>
  <c r="E140" i="9"/>
  <c r="F140" i="9"/>
  <c r="D142" i="9"/>
  <c r="E142" i="9"/>
  <c r="F142" i="9"/>
  <c r="D144" i="9"/>
  <c r="E144" i="9"/>
  <c r="F144" i="9"/>
  <c r="D146" i="9"/>
  <c r="E146" i="9"/>
  <c r="F146" i="9"/>
  <c r="D148" i="9"/>
  <c r="E148" i="9"/>
  <c r="F148" i="9"/>
  <c r="D150" i="9"/>
  <c r="E150" i="9"/>
  <c r="F150" i="9"/>
  <c r="D152" i="9"/>
  <c r="E152" i="9"/>
  <c r="F152" i="9"/>
  <c r="D154" i="9"/>
  <c r="E154" i="9"/>
  <c r="F154" i="9"/>
  <c r="D156" i="9"/>
  <c r="E156" i="9"/>
  <c r="F156" i="9"/>
  <c r="D158" i="9"/>
  <c r="E158" i="9"/>
  <c r="F158" i="9"/>
  <c r="D160" i="9"/>
  <c r="E160" i="9"/>
  <c r="F160" i="9"/>
  <c r="D162" i="9"/>
  <c r="E162" i="9"/>
  <c r="F162" i="9"/>
  <c r="D164" i="9"/>
  <c r="E164" i="9"/>
  <c r="F164" i="9"/>
  <c r="D166" i="9"/>
  <c r="E166" i="9"/>
  <c r="F166" i="9"/>
  <c r="D168" i="9"/>
  <c r="E168" i="9"/>
  <c r="F168" i="9"/>
  <c r="D170" i="9"/>
  <c r="E170" i="9"/>
  <c r="F170" i="9"/>
  <c r="D172" i="9"/>
  <c r="E172" i="9"/>
  <c r="F172" i="9"/>
  <c r="D174" i="9"/>
  <c r="E174" i="9"/>
  <c r="F174" i="9"/>
  <c r="D176" i="9"/>
  <c r="E176" i="9"/>
  <c r="F176" i="9"/>
  <c r="D178" i="9"/>
  <c r="E178" i="9"/>
  <c r="F178" i="9"/>
  <c r="D180" i="9"/>
  <c r="E180" i="9"/>
  <c r="F180" i="9"/>
  <c r="D182" i="9"/>
  <c r="E182" i="9"/>
  <c r="F182" i="9"/>
  <c r="D184" i="9"/>
  <c r="E184" i="9"/>
  <c r="F184" i="9"/>
  <c r="D186" i="9"/>
  <c r="E186" i="9"/>
  <c r="AA6" i="8"/>
  <c r="O7" i="8"/>
  <c r="AA7" i="8"/>
  <c r="O10" i="8"/>
  <c r="AA10" i="8"/>
  <c r="O15" i="8"/>
  <c r="T16" i="8"/>
  <c r="T17" i="8"/>
  <c r="G21" i="8"/>
  <c r="R4" i="8" s="1"/>
  <c r="N21" i="8"/>
  <c r="R10" i="8" s="1"/>
  <c r="G22" i="8"/>
  <c r="N22" i="8"/>
  <c r="G24" i="8"/>
  <c r="N24" i="8"/>
  <c r="N29" i="8"/>
  <c r="N30" i="8"/>
  <c r="E186" i="11" l="1"/>
  <c r="E182" i="11"/>
  <c r="E178" i="11"/>
  <c r="E170" i="11"/>
  <c r="E158" i="11"/>
  <c r="AJ94" i="11"/>
  <c r="I72" i="11"/>
  <c r="I74" i="11" s="1"/>
  <c r="I76" i="11" s="1"/>
  <c r="I78" i="11" s="1"/>
  <c r="I80" i="11" s="1"/>
  <c r="I82" i="11" s="1"/>
  <c r="I84" i="11" s="1"/>
  <c r="I86" i="11" s="1"/>
  <c r="I88" i="11" s="1"/>
  <c r="I90" i="11" s="1"/>
  <c r="I92" i="11" s="1"/>
  <c r="I94" i="11" s="1"/>
  <c r="I96" i="11" s="1"/>
  <c r="I98" i="11" s="1"/>
  <c r="I100" i="11" s="1"/>
  <c r="I102" i="11" s="1"/>
  <c r="I104" i="11" s="1"/>
  <c r="I106" i="11" s="1"/>
  <c r="I108" i="11" s="1"/>
  <c r="I110" i="11" s="1"/>
  <c r="I112" i="11" s="1"/>
  <c r="I114" i="11" s="1"/>
  <c r="I116" i="11" s="1"/>
  <c r="I118" i="11" s="1"/>
  <c r="I120" i="11" s="1"/>
  <c r="I122" i="11" s="1"/>
  <c r="D70" i="11"/>
  <c r="E62" i="11"/>
  <c r="AD8" i="10"/>
  <c r="G23" i="10" s="1"/>
  <c r="T6" i="10"/>
  <c r="R10" i="10"/>
  <c r="F61" i="9"/>
  <c r="F126" i="9" s="1"/>
  <c r="E62" i="9"/>
  <c r="I70" i="9"/>
  <c r="I72" i="9" s="1"/>
  <c r="I74" i="9" s="1"/>
  <c r="I76" i="9" s="1"/>
  <c r="I78" i="9" s="1"/>
  <c r="I80" i="9" s="1"/>
  <c r="I82" i="9" s="1"/>
  <c r="I84" i="9" s="1"/>
  <c r="I86" i="9" s="1"/>
  <c r="I88" i="9" s="1"/>
  <c r="I90" i="9" s="1"/>
  <c r="I92" i="9" s="1"/>
  <c r="I94" i="9" s="1"/>
  <c r="I96" i="9" s="1"/>
  <c r="I98" i="9" s="1"/>
  <c r="I100" i="9" s="1"/>
  <c r="I102" i="9" s="1"/>
  <c r="I104" i="9" s="1"/>
  <c r="I106" i="9" s="1"/>
  <c r="I108" i="9" s="1"/>
  <c r="I110" i="9" s="1"/>
  <c r="I112" i="9" s="1"/>
  <c r="I114" i="9" s="1"/>
  <c r="I116" i="9" s="1"/>
  <c r="I118" i="9" s="1"/>
  <c r="I120" i="9" s="1"/>
  <c r="I122" i="9" s="1"/>
  <c r="AJ94" i="9"/>
  <c r="D68" i="9"/>
  <c r="AB8" i="8"/>
  <c r="N23" i="8" s="1"/>
  <c r="T6" i="8"/>
  <c r="AA8" i="8"/>
  <c r="G23" i="8" s="1"/>
  <c r="O10" i="4"/>
  <c r="E64" i="11" l="1"/>
  <c r="F62" i="11"/>
  <c r="F127" i="11" s="1"/>
  <c r="E127" i="11"/>
  <c r="AJ98" i="11"/>
  <c r="AJ96" i="11"/>
  <c r="D72" i="11"/>
  <c r="D135" i="11"/>
  <c r="T8" i="10"/>
  <c r="T9" i="10"/>
  <c r="AJ98" i="9"/>
  <c r="AJ96" i="9"/>
  <c r="E64" i="9"/>
  <c r="F62" i="9"/>
  <c r="F127" i="9" s="1"/>
  <c r="E127" i="9"/>
  <c r="D133" i="9"/>
  <c r="D70" i="9"/>
  <c r="T9" i="8"/>
  <c r="T8" i="8"/>
  <c r="L15" i="4"/>
  <c r="L14" i="4"/>
  <c r="D74" i="11" l="1"/>
  <c r="D137" i="11"/>
  <c r="E66" i="11"/>
  <c r="F64" i="11"/>
  <c r="F129" i="11" s="1"/>
  <c r="E129" i="11"/>
  <c r="D72" i="9"/>
  <c r="D135" i="9"/>
  <c r="E66" i="9"/>
  <c r="F64" i="9"/>
  <c r="F129" i="9" s="1"/>
  <c r="E129" i="9"/>
  <c r="H15" i="4"/>
  <c r="D76" i="11" l="1"/>
  <c r="D139" i="11"/>
  <c r="F66" i="11"/>
  <c r="F131" i="11" s="1"/>
  <c r="E68" i="11"/>
  <c r="E131" i="11"/>
  <c r="E68" i="9"/>
  <c r="F66" i="9"/>
  <c r="F131" i="9" s="1"/>
  <c r="E131" i="9"/>
  <c r="D74" i="9"/>
  <c r="D137" i="9"/>
  <c r="O13" i="4"/>
  <c r="E70" i="11" l="1"/>
  <c r="E133" i="11"/>
  <c r="F68" i="11"/>
  <c r="F133" i="11" s="1"/>
  <c r="D78" i="11"/>
  <c r="D141" i="11"/>
  <c r="D76" i="9"/>
  <c r="D139" i="9"/>
  <c r="E70" i="9"/>
  <c r="E133" i="9"/>
  <c r="F68" i="9"/>
  <c r="F133" i="9" s="1"/>
  <c r="O9" i="4"/>
  <c r="D80" i="11" l="1"/>
  <c r="D143" i="11"/>
  <c r="E72" i="11"/>
  <c r="E135" i="11"/>
  <c r="F70" i="11"/>
  <c r="F135" i="11" s="1"/>
  <c r="E72" i="9"/>
  <c r="E135" i="9"/>
  <c r="F70" i="9"/>
  <c r="F135" i="9" s="1"/>
  <c r="D141" i="9"/>
  <c r="D78" i="9"/>
  <c r="O5" i="4"/>
  <c r="L18" i="4"/>
  <c r="E74" i="11" l="1"/>
  <c r="E137" i="11"/>
  <c r="F72" i="11"/>
  <c r="F137" i="11" s="1"/>
  <c r="D82" i="11"/>
  <c r="D145" i="11"/>
  <c r="D80" i="9"/>
  <c r="D143" i="9"/>
  <c r="E74" i="9"/>
  <c r="E137" i="9"/>
  <c r="F72" i="9"/>
  <c r="F137" i="9" s="1"/>
  <c r="E16" i="4"/>
  <c r="D84" i="11" l="1"/>
  <c r="D147" i="11"/>
  <c r="E76" i="11"/>
  <c r="E139" i="11"/>
  <c r="F74" i="11"/>
  <c r="F139" i="11" s="1"/>
  <c r="E76" i="9"/>
  <c r="E139" i="9"/>
  <c r="F74" i="9"/>
  <c r="F139" i="9" s="1"/>
  <c r="D82" i="9"/>
  <c r="D145" i="9"/>
  <c r="E8" i="4"/>
  <c r="E4" i="4"/>
  <c r="L4" i="4"/>
  <c r="E78" i="11" l="1"/>
  <c r="E141" i="11"/>
  <c r="F76" i="11"/>
  <c r="F141" i="11" s="1"/>
  <c r="D86" i="11"/>
  <c r="D149" i="11"/>
  <c r="D84" i="9"/>
  <c r="D147" i="9"/>
  <c r="E78" i="9"/>
  <c r="E141" i="9"/>
  <c r="F76" i="9"/>
  <c r="F141" i="9" s="1"/>
  <c r="R17" i="4"/>
  <c r="R16" i="4"/>
  <c r="D88" i="11" l="1"/>
  <c r="D151" i="11"/>
  <c r="E80" i="11"/>
  <c r="E143" i="11"/>
  <c r="F78" i="11"/>
  <c r="F143" i="11" s="1"/>
  <c r="E80" i="9"/>
  <c r="E143" i="9"/>
  <c r="F78" i="9"/>
  <c r="F143" i="9" s="1"/>
  <c r="D149" i="9"/>
  <c r="D86" i="9"/>
  <c r="E82" i="11" l="1"/>
  <c r="E145" i="11"/>
  <c r="F80" i="11"/>
  <c r="F145" i="11" s="1"/>
  <c r="D153" i="11"/>
  <c r="D90" i="11"/>
  <c r="D88" i="9"/>
  <c r="D151" i="9"/>
  <c r="E82" i="9"/>
  <c r="E145" i="9"/>
  <c r="F80" i="9"/>
  <c r="F145" i="9" s="1"/>
  <c r="L6" i="4"/>
  <c r="D92" i="11" l="1"/>
  <c r="D155" i="11"/>
  <c r="E84" i="11"/>
  <c r="E147" i="11"/>
  <c r="F82" i="11"/>
  <c r="F147" i="11" s="1"/>
  <c r="E84" i="9"/>
  <c r="E147" i="9"/>
  <c r="F82" i="9"/>
  <c r="F147" i="9" s="1"/>
  <c r="D90" i="9"/>
  <c r="D153" i="9"/>
  <c r="E86" i="11" l="1"/>
  <c r="E149" i="11"/>
  <c r="F84" i="11"/>
  <c r="F149" i="11" s="1"/>
  <c r="D94" i="11"/>
  <c r="D157" i="11"/>
  <c r="D92" i="9"/>
  <c r="D155" i="9"/>
  <c r="E86" i="9"/>
  <c r="E149" i="9"/>
  <c r="F84" i="9"/>
  <c r="F149" i="9" s="1"/>
  <c r="I62" i="5"/>
  <c r="D96" i="11" l="1"/>
  <c r="D159" i="11"/>
  <c r="E88" i="11"/>
  <c r="E151" i="11"/>
  <c r="F86" i="11"/>
  <c r="F151" i="11" s="1"/>
  <c r="E88" i="9"/>
  <c r="E151" i="9"/>
  <c r="F86" i="9"/>
  <c r="F151" i="9" s="1"/>
  <c r="D157" i="9"/>
  <c r="D94" i="9"/>
  <c r="AA16" i="4"/>
  <c r="E90" i="11" l="1"/>
  <c r="E153" i="11"/>
  <c r="F88" i="11"/>
  <c r="F153" i="11" s="1"/>
  <c r="D161" i="11"/>
  <c r="D98" i="11"/>
  <c r="D96" i="9"/>
  <c r="D159" i="9"/>
  <c r="E90" i="9"/>
  <c r="E153" i="9"/>
  <c r="F88" i="9"/>
  <c r="F153" i="9" s="1"/>
  <c r="D58" i="5"/>
  <c r="E58" i="5"/>
  <c r="D100" i="11" l="1"/>
  <c r="D163" i="11"/>
  <c r="E92" i="11"/>
  <c r="E155" i="11"/>
  <c r="F90" i="11"/>
  <c r="F155" i="11" s="1"/>
  <c r="E92" i="9"/>
  <c r="E155" i="9"/>
  <c r="F90" i="9"/>
  <c r="F155" i="9" s="1"/>
  <c r="D98" i="9"/>
  <c r="D161" i="9"/>
  <c r="N29" i="4"/>
  <c r="E94" i="11" l="1"/>
  <c r="E157" i="11"/>
  <c r="F92" i="11"/>
  <c r="F157" i="11" s="1"/>
  <c r="D165" i="11"/>
  <c r="D102" i="11"/>
  <c r="D100" i="9"/>
  <c r="D163" i="9"/>
  <c r="E94" i="9"/>
  <c r="E157" i="9"/>
  <c r="F92" i="9"/>
  <c r="F157" i="9" s="1"/>
  <c r="AA9" i="4"/>
  <c r="N30" i="4" s="1"/>
  <c r="I64" i="5"/>
  <c r="I66" i="5" s="1"/>
  <c r="I68" i="5" s="1"/>
  <c r="I70" i="5" s="1"/>
  <c r="I72" i="5" s="1"/>
  <c r="I74" i="5" s="1"/>
  <c r="I76" i="5" s="1"/>
  <c r="I78" i="5" s="1"/>
  <c r="I80" i="5" s="1"/>
  <c r="I82" i="5" s="1"/>
  <c r="I84" i="5" s="1"/>
  <c r="I86" i="5" s="1"/>
  <c r="I88" i="5" s="1"/>
  <c r="I90" i="5" s="1"/>
  <c r="I92" i="5" s="1"/>
  <c r="I94" i="5" s="1"/>
  <c r="I96" i="5" s="1"/>
  <c r="I98" i="5" s="1"/>
  <c r="I100" i="5" s="1"/>
  <c r="I102" i="5" s="1"/>
  <c r="I104" i="5" s="1"/>
  <c r="I106" i="5" s="1"/>
  <c r="I108" i="5" s="1"/>
  <c r="I110" i="5" s="1"/>
  <c r="I112" i="5" s="1"/>
  <c r="I114" i="5" s="1"/>
  <c r="I116" i="5" s="1"/>
  <c r="I118" i="5" s="1"/>
  <c r="I120" i="5" s="1"/>
  <c r="I122" i="5" s="1"/>
  <c r="H62" i="5"/>
  <c r="H64" i="5" s="1"/>
  <c r="H66" i="5" s="1"/>
  <c r="H68" i="5" s="1"/>
  <c r="H70" i="5" s="1"/>
  <c r="H72" i="5" s="1"/>
  <c r="H74" i="5" s="1"/>
  <c r="H76" i="5" s="1"/>
  <c r="H78" i="5" s="1"/>
  <c r="H80" i="5" s="1"/>
  <c r="H82" i="5" s="1"/>
  <c r="H84" i="5" s="1"/>
  <c r="H86" i="5" s="1"/>
  <c r="H88" i="5" s="1"/>
  <c r="H90" i="5" s="1"/>
  <c r="H92" i="5" s="1"/>
  <c r="H94" i="5" s="1"/>
  <c r="H96" i="5" s="1"/>
  <c r="H98" i="5" s="1"/>
  <c r="H100" i="5" s="1"/>
  <c r="H102" i="5" s="1"/>
  <c r="H104" i="5" s="1"/>
  <c r="H106" i="5" s="1"/>
  <c r="H108" i="5" s="1"/>
  <c r="H110" i="5" s="1"/>
  <c r="H112" i="5" s="1"/>
  <c r="H114" i="5" s="1"/>
  <c r="H116" i="5" s="1"/>
  <c r="H118" i="5" s="1"/>
  <c r="H120" i="5" s="1"/>
  <c r="H122" i="5" s="1"/>
  <c r="AA6" i="4"/>
  <c r="AA7" i="4" s="1"/>
  <c r="D104" i="11" l="1"/>
  <c r="D167" i="11"/>
  <c r="E96" i="11"/>
  <c r="E159" i="11"/>
  <c r="F94" i="11"/>
  <c r="F159" i="11" s="1"/>
  <c r="E96" i="9"/>
  <c r="E159" i="9"/>
  <c r="F94" i="9"/>
  <c r="F159" i="9" s="1"/>
  <c r="D102" i="9"/>
  <c r="D165" i="9"/>
  <c r="G62" i="5"/>
  <c r="G64" i="5" s="1"/>
  <c r="G66" i="5" s="1"/>
  <c r="G68" i="5" s="1"/>
  <c r="G70" i="5" s="1"/>
  <c r="G72" i="5" s="1"/>
  <c r="G74" i="5" s="1"/>
  <c r="G76" i="5" s="1"/>
  <c r="G78" i="5" s="1"/>
  <c r="G80" i="5" s="1"/>
  <c r="G82" i="5" s="1"/>
  <c r="G84" i="5" s="1"/>
  <c r="G86" i="5" s="1"/>
  <c r="G88" i="5" s="1"/>
  <c r="G90" i="5" s="1"/>
  <c r="G92" i="5" s="1"/>
  <c r="G94" i="5" s="1"/>
  <c r="G96" i="5" s="1"/>
  <c r="G98" i="5" s="1"/>
  <c r="G100" i="5" s="1"/>
  <c r="G102" i="5" s="1"/>
  <c r="G104" i="5" s="1"/>
  <c r="G106" i="5" s="1"/>
  <c r="G108" i="5" s="1"/>
  <c r="G110" i="5" s="1"/>
  <c r="G112" i="5" s="1"/>
  <c r="G114" i="5" s="1"/>
  <c r="G116" i="5" s="1"/>
  <c r="G118" i="5" s="1"/>
  <c r="G120" i="5" s="1"/>
  <c r="G122" i="5" s="1"/>
  <c r="E113" i="5"/>
  <c r="E98" i="11" l="1"/>
  <c r="E161" i="11"/>
  <c r="F96" i="11"/>
  <c r="F161" i="11" s="1"/>
  <c r="D106" i="11"/>
  <c r="D169" i="11"/>
  <c r="D104" i="9"/>
  <c r="D167" i="9"/>
  <c r="E98" i="9"/>
  <c r="E161" i="9"/>
  <c r="F96" i="9"/>
  <c r="F161" i="9" s="1"/>
  <c r="D101" i="5"/>
  <c r="D108" i="11" l="1"/>
  <c r="D171" i="11"/>
  <c r="E100" i="11"/>
  <c r="E163" i="11"/>
  <c r="F98" i="11"/>
  <c r="F163" i="11" s="1"/>
  <c r="E100" i="9"/>
  <c r="E163" i="9"/>
  <c r="F98" i="9"/>
  <c r="F163" i="9" s="1"/>
  <c r="D169" i="9"/>
  <c r="D106" i="9"/>
  <c r="D97" i="5"/>
  <c r="D162" i="5" s="1"/>
  <c r="E97" i="5"/>
  <c r="D99" i="5"/>
  <c r="D164" i="5" s="1"/>
  <c r="E99" i="5"/>
  <c r="E164" i="5" s="1"/>
  <c r="D166" i="5"/>
  <c r="E101" i="5"/>
  <c r="D103" i="5"/>
  <c r="D168" i="5" s="1"/>
  <c r="E103" i="5"/>
  <c r="E168" i="5" s="1"/>
  <c r="D105" i="5"/>
  <c r="D170" i="5" s="1"/>
  <c r="E105" i="5"/>
  <c r="E170" i="5" s="1"/>
  <c r="D107" i="5"/>
  <c r="D172" i="5" s="1"/>
  <c r="E107" i="5"/>
  <c r="D109" i="5"/>
  <c r="D174" i="5" s="1"/>
  <c r="E109" i="5"/>
  <c r="E174" i="5" s="1"/>
  <c r="D111" i="5"/>
  <c r="D176" i="5" s="1"/>
  <c r="E111" i="5"/>
  <c r="E176" i="5" s="1"/>
  <c r="D113" i="5"/>
  <c r="D178" i="5" s="1"/>
  <c r="E178" i="5"/>
  <c r="D115" i="5"/>
  <c r="D180" i="5" s="1"/>
  <c r="E115" i="5"/>
  <c r="D117" i="5"/>
  <c r="D182" i="5" s="1"/>
  <c r="E117" i="5"/>
  <c r="E182" i="5" s="1"/>
  <c r="D119" i="5"/>
  <c r="E119" i="5"/>
  <c r="E184" i="5" s="1"/>
  <c r="D121" i="5"/>
  <c r="D186" i="5" s="1"/>
  <c r="E121" i="5"/>
  <c r="E102" i="11" l="1"/>
  <c r="E165" i="11"/>
  <c r="F100" i="11"/>
  <c r="F165" i="11" s="1"/>
  <c r="D173" i="11"/>
  <c r="D110" i="11"/>
  <c r="D108" i="9"/>
  <c r="D171" i="9"/>
  <c r="E102" i="9"/>
  <c r="E165" i="9"/>
  <c r="F100" i="9"/>
  <c r="F165" i="9" s="1"/>
  <c r="F121" i="5"/>
  <c r="F107" i="5"/>
  <c r="F97" i="5"/>
  <c r="F101" i="5"/>
  <c r="E186" i="5"/>
  <c r="E172" i="5"/>
  <c r="E162" i="5"/>
  <c r="E166" i="5"/>
  <c r="F115" i="5"/>
  <c r="F111" i="5"/>
  <c r="F109" i="5"/>
  <c r="F117" i="5"/>
  <c r="F103" i="5"/>
  <c r="F119" i="5"/>
  <c r="F113" i="5"/>
  <c r="F105" i="5"/>
  <c r="F99" i="5"/>
  <c r="I2" i="5"/>
  <c r="B65" i="5"/>
  <c r="B61" i="5"/>
  <c r="B63" i="5"/>
  <c r="E180" i="5"/>
  <c r="E95" i="5"/>
  <c r="E160" i="5" s="1"/>
  <c r="E93" i="5"/>
  <c r="E158" i="5" s="1"/>
  <c r="E91" i="5"/>
  <c r="E156" i="5" s="1"/>
  <c r="E89" i="5"/>
  <c r="E154" i="5" s="1"/>
  <c r="E87" i="5"/>
  <c r="E152" i="5" s="1"/>
  <c r="E85" i="5"/>
  <c r="E150" i="5" s="1"/>
  <c r="E83" i="5"/>
  <c r="E148" i="5" s="1"/>
  <c r="E81" i="5"/>
  <c r="E146" i="5" s="1"/>
  <c r="E79" i="5"/>
  <c r="E144" i="5" s="1"/>
  <c r="E77" i="5"/>
  <c r="E142" i="5" s="1"/>
  <c r="E75" i="5"/>
  <c r="E140" i="5" s="1"/>
  <c r="E73" i="5"/>
  <c r="E138" i="5" s="1"/>
  <c r="E71" i="5"/>
  <c r="E136" i="5" s="1"/>
  <c r="E69" i="5"/>
  <c r="E134" i="5" s="1"/>
  <c r="E67" i="5"/>
  <c r="E132" i="5" s="1"/>
  <c r="E65" i="5"/>
  <c r="E130" i="5" s="1"/>
  <c r="E63" i="5"/>
  <c r="E128" i="5" s="1"/>
  <c r="E61" i="5"/>
  <c r="E126" i="5" s="1"/>
  <c r="D184" i="5"/>
  <c r="D95" i="5"/>
  <c r="D160" i="5" s="1"/>
  <c r="D93" i="5"/>
  <c r="D158" i="5" s="1"/>
  <c r="D91" i="5"/>
  <c r="D156" i="5" s="1"/>
  <c r="D89" i="5"/>
  <c r="D154" i="5" s="1"/>
  <c r="D87" i="5"/>
  <c r="D152" i="5" s="1"/>
  <c r="D85" i="5"/>
  <c r="D150" i="5" s="1"/>
  <c r="D83" i="5"/>
  <c r="D148" i="5" s="1"/>
  <c r="D81" i="5"/>
  <c r="D146" i="5" s="1"/>
  <c r="D112" i="11" l="1"/>
  <c r="D175" i="11"/>
  <c r="E104" i="11"/>
  <c r="E167" i="11"/>
  <c r="F102" i="11"/>
  <c r="F167" i="11" s="1"/>
  <c r="E104" i="9"/>
  <c r="E167" i="9"/>
  <c r="F102" i="9"/>
  <c r="F167" i="9" s="1"/>
  <c r="D110" i="9"/>
  <c r="D173" i="9"/>
  <c r="F81" i="5"/>
  <c r="F146" i="5" s="1"/>
  <c r="F85" i="5"/>
  <c r="F150" i="5" s="1"/>
  <c r="F89" i="5"/>
  <c r="F154" i="5" s="1"/>
  <c r="F93" i="5"/>
  <c r="F158" i="5" s="1"/>
  <c r="F162" i="5"/>
  <c r="F166" i="5"/>
  <c r="F170" i="5"/>
  <c r="F174" i="5"/>
  <c r="F178" i="5"/>
  <c r="F182" i="5"/>
  <c r="F186" i="5"/>
  <c r="E62" i="5"/>
  <c r="F83" i="5"/>
  <c r="F148" i="5" s="1"/>
  <c r="F87" i="5"/>
  <c r="F152" i="5" s="1"/>
  <c r="F91" i="5"/>
  <c r="F156" i="5" s="1"/>
  <c r="F95" i="5"/>
  <c r="F160" i="5" s="1"/>
  <c r="F164" i="5"/>
  <c r="F168" i="5"/>
  <c r="F172" i="5"/>
  <c r="F176" i="5"/>
  <c r="F180" i="5"/>
  <c r="F184" i="5"/>
  <c r="D79" i="5"/>
  <c r="D144" i="5" s="1"/>
  <c r="D77" i="5"/>
  <c r="D142" i="5" s="1"/>
  <c r="D75" i="5"/>
  <c r="D140" i="5" s="1"/>
  <c r="D73" i="5"/>
  <c r="D138" i="5" s="1"/>
  <c r="D71" i="5"/>
  <c r="D136" i="5" s="1"/>
  <c r="D69" i="5"/>
  <c r="D134" i="5" s="1"/>
  <c r="D67" i="5"/>
  <c r="D132" i="5" s="1"/>
  <c r="D65" i="5"/>
  <c r="D130" i="5" s="1"/>
  <c r="D63" i="5"/>
  <c r="D128" i="5" s="1"/>
  <c r="D61" i="5"/>
  <c r="D126" i="5" s="1"/>
  <c r="AJ94" i="5"/>
  <c r="AJ98" i="5" s="1"/>
  <c r="D177" i="11" l="1"/>
  <c r="D114" i="11"/>
  <c r="E106" i="11"/>
  <c r="E169" i="11"/>
  <c r="F104" i="11"/>
  <c r="F169" i="11" s="1"/>
  <c r="D175" i="9"/>
  <c r="D112" i="9"/>
  <c r="E106" i="9"/>
  <c r="E169" i="9"/>
  <c r="F104" i="9"/>
  <c r="F169" i="9" s="1"/>
  <c r="E64" i="5"/>
  <c r="E129" i="5" s="1"/>
  <c r="E127" i="5"/>
  <c r="F63" i="5"/>
  <c r="F128" i="5" s="1"/>
  <c r="F67" i="5"/>
  <c r="F132" i="5" s="1"/>
  <c r="F71" i="5"/>
  <c r="F136" i="5" s="1"/>
  <c r="F75" i="5"/>
  <c r="F140" i="5" s="1"/>
  <c r="F79" i="5"/>
  <c r="F144" i="5" s="1"/>
  <c r="F65" i="5"/>
  <c r="F130" i="5" s="1"/>
  <c r="F69" i="5"/>
  <c r="F134" i="5" s="1"/>
  <c r="F73" i="5"/>
  <c r="F138" i="5" s="1"/>
  <c r="F77" i="5"/>
  <c r="F142" i="5" s="1"/>
  <c r="D62" i="5"/>
  <c r="F61" i="5"/>
  <c r="F126" i="5" s="1"/>
  <c r="AJ96" i="5"/>
  <c r="E108" i="11" l="1"/>
  <c r="E171" i="11"/>
  <c r="F106" i="11"/>
  <c r="F171" i="11" s="1"/>
  <c r="D116" i="11"/>
  <c r="D179" i="11"/>
  <c r="E171" i="9"/>
  <c r="E108" i="9"/>
  <c r="F106" i="9"/>
  <c r="F171" i="9" s="1"/>
  <c r="D114" i="9"/>
  <c r="D177" i="9"/>
  <c r="E66" i="5"/>
  <c r="E131" i="5" s="1"/>
  <c r="D64" i="5"/>
  <c r="D129" i="5" s="1"/>
  <c r="D127" i="5"/>
  <c r="F62" i="5"/>
  <c r="F127" i="5" s="1"/>
  <c r="E68" i="5"/>
  <c r="E133" i="5" s="1"/>
  <c r="D181" i="11" l="1"/>
  <c r="D118" i="11"/>
  <c r="E110" i="11"/>
  <c r="E173" i="11"/>
  <c r="F108" i="11"/>
  <c r="F173" i="11" s="1"/>
  <c r="D179" i="9"/>
  <c r="D116" i="9"/>
  <c r="E110" i="9"/>
  <c r="E173" i="9"/>
  <c r="F108" i="9"/>
  <c r="F173" i="9" s="1"/>
  <c r="D66" i="5"/>
  <c r="D131" i="5" s="1"/>
  <c r="F64" i="5"/>
  <c r="F129" i="5" s="1"/>
  <c r="E70" i="5"/>
  <c r="E135" i="5" s="1"/>
  <c r="F66" i="5"/>
  <c r="F131" i="5" s="1"/>
  <c r="N21" i="4"/>
  <c r="AB8" i="4" s="1"/>
  <c r="G21" i="4"/>
  <c r="E112" i="11" l="1"/>
  <c r="E175" i="11"/>
  <c r="F110" i="11"/>
  <c r="F175" i="11" s="1"/>
  <c r="D120" i="11"/>
  <c r="D183" i="11"/>
  <c r="E112" i="9"/>
  <c r="E175" i="9"/>
  <c r="F110" i="9"/>
  <c r="F175" i="9" s="1"/>
  <c r="D118" i="9"/>
  <c r="D181" i="9"/>
  <c r="D68" i="5"/>
  <c r="D133" i="5" s="1"/>
  <c r="T17" i="4"/>
  <c r="AA8" i="4"/>
  <c r="T16" i="4"/>
  <c r="T15" i="4"/>
  <c r="R10" i="4"/>
  <c r="R4" i="4"/>
  <c r="G24" i="4"/>
  <c r="G22" i="4"/>
  <c r="N22" i="4"/>
  <c r="T6" i="4"/>
  <c r="T8" i="4" s="1"/>
  <c r="E72" i="5"/>
  <c r="E137" i="5" s="1"/>
  <c r="D70" i="5"/>
  <c r="D135" i="5" s="1"/>
  <c r="D185" i="11" l="1"/>
  <c r="D122" i="11"/>
  <c r="AC94" i="11"/>
  <c r="E114" i="11"/>
  <c r="E177" i="11"/>
  <c r="F112" i="11"/>
  <c r="F177" i="11" s="1"/>
  <c r="D183" i="9"/>
  <c r="D120" i="9"/>
  <c r="E177" i="9"/>
  <c r="E114" i="9"/>
  <c r="F112" i="9"/>
  <c r="F177" i="9" s="1"/>
  <c r="F68" i="5"/>
  <c r="F133" i="5" s="1"/>
  <c r="N23" i="4"/>
  <c r="T9" i="4"/>
  <c r="E74" i="5"/>
  <c r="E139" i="5" s="1"/>
  <c r="D72" i="5"/>
  <c r="D137" i="5" s="1"/>
  <c r="F70" i="5"/>
  <c r="F135" i="5" s="1"/>
  <c r="AC96" i="11" l="1"/>
  <c r="AC98" i="11"/>
  <c r="E116" i="11"/>
  <c r="E179" i="11"/>
  <c r="F114" i="11"/>
  <c r="F179" i="11" s="1"/>
  <c r="D187" i="11"/>
  <c r="E116" i="9"/>
  <c r="E179" i="9"/>
  <c r="F114" i="9"/>
  <c r="F179" i="9" s="1"/>
  <c r="D122" i="9"/>
  <c r="D185" i="9"/>
  <c r="AC94" i="9"/>
  <c r="G23" i="4"/>
  <c r="E76" i="5"/>
  <c r="E141" i="5" s="1"/>
  <c r="D74" i="5"/>
  <c r="D139" i="5" s="1"/>
  <c r="F72" i="5"/>
  <c r="F137" i="5" s="1"/>
  <c r="E118" i="11" l="1"/>
  <c r="E181" i="11"/>
  <c r="F116" i="11"/>
  <c r="F181" i="11" s="1"/>
  <c r="D187" i="9"/>
  <c r="AC96" i="9"/>
  <c r="AC98" i="9"/>
  <c r="E181" i="9"/>
  <c r="E118" i="9"/>
  <c r="F116" i="9"/>
  <c r="F181" i="9" s="1"/>
  <c r="E78" i="5"/>
  <c r="E143" i="5" s="1"/>
  <c r="D76" i="5"/>
  <c r="D141" i="5" s="1"/>
  <c r="F74" i="5"/>
  <c r="F139" i="5" s="1"/>
  <c r="E120" i="11" l="1"/>
  <c r="E183" i="11"/>
  <c r="F118" i="11"/>
  <c r="F183" i="11" s="1"/>
  <c r="E120" i="9"/>
  <c r="E183" i="9"/>
  <c r="F118" i="9"/>
  <c r="F183" i="9" s="1"/>
  <c r="E80" i="5"/>
  <c r="E145" i="5" s="1"/>
  <c r="D78" i="5"/>
  <c r="D143" i="5" s="1"/>
  <c r="F76" i="5"/>
  <c r="F141" i="5" s="1"/>
  <c r="E122" i="11" l="1"/>
  <c r="E185" i="11"/>
  <c r="F120" i="11"/>
  <c r="F185" i="11" s="1"/>
  <c r="E185" i="9"/>
  <c r="E122" i="9"/>
  <c r="F120" i="9"/>
  <c r="F185" i="9" s="1"/>
  <c r="E82" i="5"/>
  <c r="E147" i="5" s="1"/>
  <c r="D80" i="5"/>
  <c r="D145" i="5" s="1"/>
  <c r="F78" i="5"/>
  <c r="F143" i="5" s="1"/>
  <c r="E187" i="11" l="1"/>
  <c r="F122" i="11"/>
  <c r="F187" i="11" s="1"/>
  <c r="E187" i="9"/>
  <c r="F122" i="9"/>
  <c r="F187" i="9" s="1"/>
  <c r="E84" i="5"/>
  <c r="E149" i="5" s="1"/>
  <c r="D82" i="5"/>
  <c r="D147" i="5" s="1"/>
  <c r="F80" i="5"/>
  <c r="F145" i="5" s="1"/>
  <c r="E86" i="5" l="1"/>
  <c r="E151" i="5" s="1"/>
  <c r="D84" i="5"/>
  <c r="D149" i="5" s="1"/>
  <c r="F82" i="5"/>
  <c r="F147" i="5" s="1"/>
  <c r="E88" i="5" l="1"/>
  <c r="E153" i="5" s="1"/>
  <c r="D86" i="5"/>
  <c r="D151" i="5" s="1"/>
  <c r="F84" i="5"/>
  <c r="F149" i="5" s="1"/>
  <c r="E90" i="5" l="1"/>
  <c r="E155" i="5" s="1"/>
  <c r="D88" i="5"/>
  <c r="D153" i="5" s="1"/>
  <c r="F86" i="5"/>
  <c r="F151" i="5" s="1"/>
  <c r="E92" i="5" l="1"/>
  <c r="E157" i="5" s="1"/>
  <c r="D90" i="5"/>
  <c r="D155" i="5" s="1"/>
  <c r="F88" i="5"/>
  <c r="F153" i="5" s="1"/>
  <c r="E94" i="5" l="1"/>
  <c r="F90" i="5"/>
  <c r="F155" i="5" s="1"/>
  <c r="D92" i="5"/>
  <c r="D157" i="5" s="1"/>
  <c r="E159" i="5" l="1"/>
  <c r="E96" i="5"/>
  <c r="E98" i="5" s="1"/>
  <c r="E100" i="5" s="1"/>
  <c r="E102" i="5" s="1"/>
  <c r="E104" i="5" s="1"/>
  <c r="E106" i="5" s="1"/>
  <c r="E108" i="5" s="1"/>
  <c r="E110" i="5" s="1"/>
  <c r="E112" i="5" s="1"/>
  <c r="E114" i="5" s="1"/>
  <c r="E116" i="5" s="1"/>
  <c r="E118" i="5" s="1"/>
  <c r="E120" i="5" s="1"/>
  <c r="E122" i="5" s="1"/>
  <c r="D94" i="5"/>
  <c r="F92" i="5"/>
  <c r="F157" i="5" s="1"/>
  <c r="D159" i="5" l="1"/>
  <c r="D96" i="5"/>
  <c r="E161" i="5"/>
  <c r="E163" i="5"/>
  <c r="F94" i="5"/>
  <c r="F159" i="5" s="1"/>
  <c r="F96" i="5" l="1"/>
  <c r="F161" i="5" s="1"/>
  <c r="D98" i="5"/>
  <c r="D161" i="5"/>
  <c r="E165" i="5"/>
  <c r="F98" i="5" l="1"/>
  <c r="F163" i="5" s="1"/>
  <c r="D100" i="5"/>
  <c r="D163" i="5"/>
  <c r="E167" i="5"/>
  <c r="F100" i="5" l="1"/>
  <c r="F165" i="5" s="1"/>
  <c r="D102" i="5"/>
  <c r="D165" i="5"/>
  <c r="E169" i="5"/>
  <c r="F102" i="5" l="1"/>
  <c r="F167" i="5" s="1"/>
  <c r="D104" i="5"/>
  <c r="D167" i="5"/>
  <c r="E171" i="5"/>
  <c r="F104" i="5" l="1"/>
  <c r="F169" i="5" s="1"/>
  <c r="D106" i="5"/>
  <c r="D169" i="5"/>
  <c r="E173" i="5"/>
  <c r="F106" i="5" l="1"/>
  <c r="F171" i="5" s="1"/>
  <c r="D108" i="5"/>
  <c r="D171" i="5"/>
  <c r="E175" i="5"/>
  <c r="F108" i="5" l="1"/>
  <c r="F173" i="5" s="1"/>
  <c r="D110" i="5"/>
  <c r="D173" i="5"/>
  <c r="E177" i="5"/>
  <c r="F110" i="5" l="1"/>
  <c r="F175" i="5" s="1"/>
  <c r="D112" i="5"/>
  <c r="D175" i="5"/>
  <c r="E179" i="5"/>
  <c r="F112" i="5" l="1"/>
  <c r="F177" i="5" s="1"/>
  <c r="D114" i="5"/>
  <c r="D177" i="5"/>
  <c r="E181" i="5"/>
  <c r="F114" i="5" l="1"/>
  <c r="F179" i="5" s="1"/>
  <c r="D116" i="5"/>
  <c r="D179" i="5"/>
  <c r="E183" i="5"/>
  <c r="F116" i="5" l="1"/>
  <c r="F181" i="5" s="1"/>
  <c r="D118" i="5"/>
  <c r="D181" i="5"/>
  <c r="E185" i="5"/>
  <c r="F118" i="5" l="1"/>
  <c r="F183" i="5" s="1"/>
  <c r="D120" i="5"/>
  <c r="D183" i="5"/>
  <c r="E187" i="5"/>
  <c r="F120" i="5" l="1"/>
  <c r="F185" i="5" s="1"/>
  <c r="D122" i="5"/>
  <c r="F122" i="5" s="1"/>
  <c r="D185" i="5"/>
  <c r="AC94" i="5"/>
  <c r="D187" i="5" l="1"/>
  <c r="F187" i="5"/>
  <c r="AC98" i="5"/>
  <c r="AC96" i="5"/>
</calcChain>
</file>

<file path=xl/sharedStrings.xml><?xml version="1.0" encoding="utf-8"?>
<sst xmlns="http://schemas.openxmlformats.org/spreadsheetml/2006/main" count="148" uniqueCount="42">
  <si>
    <t>Suma del club:</t>
  </si>
  <si>
    <t>Suma del vendedor:</t>
  </si>
  <si>
    <t>Faltante por cubrir:</t>
  </si>
  <si>
    <t>Porcentaje de venta cubierto:</t>
  </si>
  <si>
    <t>Porcentaje cubierto:</t>
  </si>
  <si>
    <t xml:space="preserve"> </t>
  </si>
  <si>
    <t xml:space="preserve">   </t>
  </si>
  <si>
    <t>Juan</t>
  </si>
  <si>
    <t>Carlos</t>
  </si>
  <si>
    <t xml:space="preserve">Juan </t>
  </si>
  <si>
    <t>SM Universidad Mty.</t>
  </si>
  <si>
    <t>Meta ind</t>
  </si>
  <si>
    <t>Meta isla</t>
  </si>
  <si>
    <t>Día</t>
  </si>
  <si>
    <t>Comisión obtenida</t>
  </si>
  <si>
    <t>Araceli Macías</t>
  </si>
  <si>
    <t>Suma del líder de zona:</t>
  </si>
  <si>
    <t>Meta de la isla:</t>
  </si>
  <si>
    <t>Metas individuales:</t>
  </si>
  <si>
    <t>Mínimo para comisiones:</t>
  </si>
  <si>
    <t>Formulas y base de datos</t>
  </si>
  <si>
    <t>No modificar ninguna celda</t>
  </si>
  <si>
    <t>Comisión obtenida:</t>
  </si>
  <si>
    <t>Meta 105%</t>
  </si>
  <si>
    <t>Meta del líder de zona:</t>
  </si>
  <si>
    <t>Columna1</t>
  </si>
  <si>
    <t>Jorge Carrasco</t>
  </si>
  <si>
    <t>Carlos Ponce</t>
  </si>
  <si>
    <t>Área para hacer suma de ventas del día:</t>
  </si>
  <si>
    <t>Resultado:</t>
  </si>
  <si>
    <t>Día de inicio:</t>
  </si>
  <si>
    <t>Fecha del día:</t>
  </si>
  <si>
    <t>Días completos:</t>
  </si>
  <si>
    <t>Promedio de ventas hasta el día:</t>
  </si>
  <si>
    <t>SM San Nicolás</t>
  </si>
  <si>
    <t>El día de hoy es:</t>
  </si>
  <si>
    <t>Jorge</t>
  </si>
  <si>
    <t>Promedio diario Carlos</t>
  </si>
  <si>
    <t>Promedio diario Jorge</t>
  </si>
  <si>
    <t>Promedio diario de la isla:</t>
  </si>
  <si>
    <t xml:space="preserve">lunes, 30 de septiembre de 2019 </t>
  </si>
  <si>
    <t>x|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</si>
</sst>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&quot;$&quot;#,##0.00"/>
    <numFmt numFmtId="165" formatCode="[$-F800]dddd\,\ mmmm\ dd\,\ yyyy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Cambria"/>
      <family val="1"/>
    </font>
    <font>
      <sz val="12"/>
      <color theme="1"/>
      <name val="Cambria"/>
      <family val="1"/>
    </font>
    <font>
      <sz val="11"/>
      <color theme="0"/>
      <name val="Cambria"/>
      <family val="1"/>
    </font>
    <font>
      <sz val="11"/>
      <color rgb="FFFF0000"/>
      <name val="Cambria"/>
      <family val="1"/>
    </font>
    <font>
      <sz val="11"/>
      <color theme="0" tint="-4.9989318521683403E-2"/>
      <name val="Cambria"/>
      <family val="1"/>
    </font>
    <font>
      <sz val="11"/>
      <name val="Cambria"/>
      <family val="1"/>
    </font>
    <font>
      <sz val="18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7">
    <xf numFmtId="0" fontId="0" fillId="0" borderId="0" xfId="0"/>
    <xf numFmtId="0" fontId="0" fillId="0" borderId="0" xfId="0" applyAlignment="1"/>
    <xf numFmtId="0" fontId="0" fillId="0" borderId="0" xfId="0" applyBorder="1"/>
    <xf numFmtId="0" fontId="0" fillId="0" borderId="0" xfId="0" applyFont="1" applyFill="1" applyBorder="1"/>
    <xf numFmtId="0" fontId="0" fillId="0" borderId="0" xfId="0" applyFont="1" applyFill="1"/>
    <xf numFmtId="44" fontId="0" fillId="0" borderId="0" xfId="1" applyFont="1" applyFill="1" applyBorder="1" applyAlignment="1"/>
    <xf numFmtId="0" fontId="2" fillId="2" borderId="0" xfId="0" applyFont="1" applyFill="1"/>
    <xf numFmtId="44" fontId="2" fillId="2" borderId="0" xfId="1" applyFont="1" applyFill="1"/>
    <xf numFmtId="0" fontId="2" fillId="0" borderId="0" xfId="0" applyFont="1"/>
    <xf numFmtId="44" fontId="2" fillId="0" borderId="0" xfId="1" applyFont="1"/>
    <xf numFmtId="0" fontId="2" fillId="0" borderId="0" xfId="0" applyFont="1" applyFill="1"/>
    <xf numFmtId="44" fontId="2" fillId="0" borderId="0" xfId="1" applyFont="1" applyFill="1"/>
    <xf numFmtId="44" fontId="2" fillId="0" borderId="1" xfId="1" applyFont="1" applyFill="1" applyBorder="1" applyAlignment="1">
      <alignment horizontal="center"/>
    </xf>
    <xf numFmtId="9" fontId="2" fillId="2" borderId="1" xfId="2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4" fillId="2" borderId="5" xfId="0" applyFont="1" applyFill="1" applyBorder="1" applyAlignment="1">
      <alignment horizontal="center"/>
    </xf>
    <xf numFmtId="0" fontId="3" fillId="0" borderId="0" xfId="0" applyFont="1"/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right"/>
    </xf>
    <xf numFmtId="44" fontId="2" fillId="2" borderId="0" xfId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/>
    </xf>
    <xf numFmtId="0" fontId="0" fillId="0" borderId="0" xfId="0" applyFill="1"/>
    <xf numFmtId="0" fontId="3" fillId="0" borderId="0" xfId="0" applyFont="1" applyFill="1" applyBorder="1" applyAlignment="1"/>
    <xf numFmtId="0" fontId="2" fillId="0" borderId="0" xfId="0" applyFont="1" applyFill="1" applyBorder="1"/>
    <xf numFmtId="0" fontId="0" fillId="0" borderId="0" xfId="0" applyFill="1" applyBorder="1"/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44" fontId="2" fillId="0" borderId="0" xfId="1" applyFont="1" applyFill="1" applyBorder="1" applyAlignment="1"/>
    <xf numFmtId="44" fontId="2" fillId="0" borderId="0" xfId="1" applyFont="1" applyFill="1" applyBorder="1" applyAlignment="1">
      <alignment horizontal="right"/>
    </xf>
    <xf numFmtId="9" fontId="2" fillId="0" borderId="0" xfId="2" applyFont="1" applyFill="1" applyBorder="1" applyAlignment="1"/>
    <xf numFmtId="9" fontId="2" fillId="0" borderId="0" xfId="2" applyFont="1" applyFill="1" applyBorder="1" applyAlignment="1">
      <alignment horizontal="right"/>
    </xf>
    <xf numFmtId="44" fontId="2" fillId="0" borderId="0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4" fillId="2" borderId="1" xfId="0" applyFont="1" applyFill="1" applyBorder="1" applyAlignment="1">
      <alignment horizontal="center"/>
    </xf>
    <xf numFmtId="15" fontId="2" fillId="0" borderId="0" xfId="0" applyNumberFormat="1" applyFont="1" applyFill="1"/>
    <xf numFmtId="0" fontId="0" fillId="0" borderId="0" xfId="0" applyBorder="1" applyAlignment="1"/>
    <xf numFmtId="0" fontId="0" fillId="0" borderId="6" xfId="0" applyBorder="1" applyAlignment="1"/>
    <xf numFmtId="44" fontId="2" fillId="0" borderId="0" xfId="0" applyNumberFormat="1" applyFont="1"/>
    <xf numFmtId="44" fontId="6" fillId="0" borderId="0" xfId="0" applyNumberFormat="1" applyFont="1" applyFill="1" applyBorder="1" applyAlignment="1">
      <alignment vertical="center"/>
    </xf>
    <xf numFmtId="44" fontId="3" fillId="0" borderId="0" xfId="0" applyNumberFormat="1" applyFont="1" applyFill="1" applyBorder="1" applyAlignment="1"/>
    <xf numFmtId="44" fontId="0" fillId="0" borderId="0" xfId="0" applyNumberFormat="1"/>
    <xf numFmtId="44" fontId="0" fillId="0" borderId="0" xfId="0" applyNumberFormat="1" applyAlignment="1"/>
    <xf numFmtId="44" fontId="0" fillId="0" borderId="0" xfId="1" applyFont="1" applyFill="1"/>
    <xf numFmtId="44" fontId="2" fillId="0" borderId="0" xfId="1" applyNumberFormat="1" applyFont="1" applyFill="1"/>
    <xf numFmtId="0" fontId="0" fillId="0" borderId="0" xfId="0" applyNumberFormat="1"/>
    <xf numFmtId="44" fontId="1" fillId="0" borderId="0" xfId="1" applyFont="1" applyFill="1" applyAlignment="1"/>
    <xf numFmtId="44" fontId="0" fillId="0" borderId="0" xfId="1" applyFont="1"/>
    <xf numFmtId="44" fontId="2" fillId="0" borderId="0" xfId="0" applyNumberFormat="1" applyFont="1" applyFill="1"/>
    <xf numFmtId="44" fontId="0" fillId="2" borderId="0" xfId="1" applyFont="1" applyFill="1"/>
    <xf numFmtId="164" fontId="2" fillId="0" borderId="0" xfId="1" applyNumberFormat="1" applyFont="1" applyFill="1" applyBorder="1" applyAlignment="1">
      <alignment vertical="center"/>
    </xf>
    <xf numFmtId="44" fontId="0" fillId="0" borderId="0" xfId="1" applyFont="1" applyFill="1" applyBorder="1"/>
    <xf numFmtId="44" fontId="2" fillId="0" borderId="0" xfId="1" applyFont="1" applyFill="1" applyBorder="1" applyAlignment="1">
      <alignment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0" fillId="2" borderId="0" xfId="0" applyFont="1" applyFill="1"/>
    <xf numFmtId="44" fontId="2" fillId="2" borderId="0" xfId="0" applyNumberFormat="1" applyFont="1" applyFill="1" applyBorder="1"/>
    <xf numFmtId="0" fontId="0" fillId="2" borderId="0" xfId="0" applyFont="1" applyFill="1" applyBorder="1"/>
    <xf numFmtId="0" fontId="0" fillId="4" borderId="0" xfId="0" applyFill="1"/>
    <xf numFmtId="0" fontId="0" fillId="0" borderId="7" xfId="0" applyBorder="1"/>
    <xf numFmtId="0" fontId="2" fillId="0" borderId="0" xfId="1" applyNumberFormat="1" applyFont="1" applyFill="1"/>
    <xf numFmtId="44" fontId="0" fillId="0" borderId="8" xfId="1" applyFont="1" applyBorder="1"/>
    <xf numFmtId="44" fontId="0" fillId="0" borderId="9" xfId="1" applyFont="1" applyBorder="1"/>
    <xf numFmtId="44" fontId="0" fillId="0" borderId="0" xfId="0" applyNumberFormat="1" applyFont="1" applyFill="1" applyBorder="1"/>
    <xf numFmtId="44" fontId="0" fillId="0" borderId="0" xfId="0" applyNumberFormat="1" applyBorder="1"/>
    <xf numFmtId="44" fontId="2" fillId="0" borderId="0" xfId="2" applyNumberFormat="1" applyFont="1"/>
    <xf numFmtId="44" fontId="0" fillId="0" borderId="0" xfId="2" applyNumberFormat="1" applyFont="1" applyBorder="1"/>
    <xf numFmtId="14" fontId="0" fillId="0" borderId="0" xfId="0" applyNumberFormat="1"/>
    <xf numFmtId="0" fontId="0" fillId="2" borderId="10" xfId="0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2" borderId="10" xfId="0" applyFont="1" applyFill="1" applyBorder="1" applyAlignment="1">
      <alignment horizontal="center"/>
    </xf>
    <xf numFmtId="9" fontId="2" fillId="2" borderId="1" xfId="2" applyFont="1" applyFill="1" applyBorder="1" applyAlignment="1">
      <alignment horizontal="right"/>
    </xf>
    <xf numFmtId="0" fontId="4" fillId="2" borderId="5" xfId="0" applyFont="1" applyFill="1" applyBorder="1" applyAlignment="1">
      <alignment horizontal="center"/>
    </xf>
    <xf numFmtId="0" fontId="3" fillId="0" borderId="1" xfId="0" applyFont="1" applyBorder="1" applyAlignment="1">
      <alignment horizontal="right"/>
    </xf>
    <xf numFmtId="44" fontId="2" fillId="0" borderId="1" xfId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44" fontId="2" fillId="2" borderId="0" xfId="0" applyNumberFormat="1" applyFont="1" applyFill="1"/>
    <xf numFmtId="0" fontId="0" fillId="0" borderId="6" xfId="0" applyBorder="1"/>
    <xf numFmtId="15" fontId="2" fillId="0" borderId="0" xfId="0" applyNumberFormat="1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44" fontId="3" fillId="0" borderId="0" xfId="0" applyNumberFormat="1" applyFont="1"/>
    <xf numFmtId="44" fontId="6" fillId="0" borderId="0" xfId="0" applyNumberFormat="1" applyFont="1" applyAlignment="1">
      <alignment vertical="center"/>
    </xf>
    <xf numFmtId="0" fontId="4" fillId="0" borderId="0" xfId="0" applyFont="1"/>
    <xf numFmtId="0" fontId="3" fillId="0" borderId="0" xfId="0" applyFont="1" applyAlignment="1">
      <alignment vertical="center"/>
    </xf>
    <xf numFmtId="44" fontId="0" fillId="0" borderId="12" xfId="1" applyFont="1" applyBorder="1"/>
    <xf numFmtId="44" fontId="0" fillId="0" borderId="0" xfId="0" applyNumberFormat="1" applyAlignment="1">
      <alignment horizontal="center"/>
    </xf>
    <xf numFmtId="0" fontId="0" fillId="2" borderId="7" xfId="0" applyFill="1" applyBorder="1" applyAlignment="1">
      <alignment horizontal="center"/>
    </xf>
    <xf numFmtId="0" fontId="3" fillId="0" borderId="1" xfId="0" applyFont="1" applyBorder="1" applyAlignment="1">
      <alignment horizontal="right"/>
    </xf>
    <xf numFmtId="10" fontId="2" fillId="2" borderId="1" xfId="2" applyNumberFormat="1" applyFont="1" applyFill="1" applyBorder="1" applyAlignment="1">
      <alignment horizontal="right"/>
    </xf>
    <xf numFmtId="0" fontId="3" fillId="0" borderId="0" xfId="0" applyFont="1" applyBorder="1" applyAlignment="1">
      <alignment horizontal="left"/>
    </xf>
    <xf numFmtId="44" fontId="0" fillId="0" borderId="4" xfId="1" applyFont="1" applyBorder="1" applyAlignment="1">
      <alignment horizontal="center"/>
    </xf>
    <xf numFmtId="164" fontId="2" fillId="2" borderId="1" xfId="1" applyNumberFormat="1" applyFont="1" applyFill="1" applyBorder="1" applyAlignment="1">
      <alignment horizontal="right" vertical="center"/>
    </xf>
    <xf numFmtId="44" fontId="0" fillId="2" borderId="1" xfId="1" applyFont="1" applyFill="1" applyBorder="1" applyAlignment="1">
      <alignment horizontal="center"/>
    </xf>
    <xf numFmtId="44" fontId="0" fillId="2" borderId="1" xfId="1" applyFont="1" applyFill="1" applyBorder="1" applyAlignment="1">
      <alignment horizontal="right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right" vertical="center"/>
    </xf>
    <xf numFmtId="0" fontId="8" fillId="0" borderId="4" xfId="0" applyFont="1" applyFill="1" applyBorder="1" applyAlignment="1">
      <alignment horizontal="right" vertical="center"/>
    </xf>
    <xf numFmtId="0" fontId="8" fillId="0" borderId="5" xfId="0" applyFont="1" applyFill="1" applyBorder="1" applyAlignment="1">
      <alignment horizontal="right" vertical="center"/>
    </xf>
    <xf numFmtId="44" fontId="2" fillId="2" borderId="3" xfId="1" applyFont="1" applyFill="1" applyBorder="1" applyAlignment="1">
      <alignment horizontal="right"/>
    </xf>
    <xf numFmtId="44" fontId="2" fillId="2" borderId="5" xfId="1" applyFont="1" applyFill="1" applyBorder="1" applyAlignment="1">
      <alignment horizontal="right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44" fontId="2" fillId="3" borderId="2" xfId="1" applyFont="1" applyFill="1" applyBorder="1" applyAlignment="1">
      <alignment horizontal="right"/>
    </xf>
    <xf numFmtId="44" fontId="2" fillId="3" borderId="0" xfId="1" applyFont="1" applyFill="1" applyBorder="1" applyAlignment="1">
      <alignment horizontal="right"/>
    </xf>
    <xf numFmtId="44" fontId="2" fillId="2" borderId="1" xfId="1" applyFont="1" applyFill="1" applyBorder="1" applyAlignment="1">
      <alignment horizontal="center"/>
    </xf>
    <xf numFmtId="0" fontId="3" fillId="0" borderId="3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44" fontId="7" fillId="0" borderId="0" xfId="0" applyNumberFormat="1" applyFont="1" applyBorder="1" applyAlignment="1">
      <alignment horizontal="center" vertical="center"/>
    </xf>
    <xf numFmtId="44" fontId="2" fillId="2" borderId="2" xfId="1" applyFont="1" applyFill="1" applyBorder="1" applyAlignment="1">
      <alignment horizontal="right"/>
    </xf>
    <xf numFmtId="44" fontId="2" fillId="2" borderId="0" xfId="1" applyFont="1" applyFill="1" applyBorder="1" applyAlignment="1">
      <alignment horizontal="right"/>
    </xf>
    <xf numFmtId="0" fontId="3" fillId="0" borderId="3" xfId="0" applyFont="1" applyFill="1" applyBorder="1" applyAlignment="1">
      <alignment horizontal="right"/>
    </xf>
    <xf numFmtId="0" fontId="3" fillId="0" borderId="5" xfId="0" applyFont="1" applyFill="1" applyBorder="1" applyAlignment="1">
      <alignment horizontal="right"/>
    </xf>
    <xf numFmtId="10" fontId="2" fillId="2" borderId="2" xfId="2" applyNumberFormat="1" applyFont="1" applyFill="1" applyBorder="1" applyAlignment="1">
      <alignment horizontal="right"/>
    </xf>
    <xf numFmtId="10" fontId="2" fillId="2" borderId="0" xfId="2" applyNumberFormat="1" applyFont="1" applyFill="1" applyBorder="1" applyAlignment="1">
      <alignment horizontal="right"/>
    </xf>
    <xf numFmtId="0" fontId="10" fillId="0" borderId="1" xfId="0" applyFont="1" applyBorder="1" applyAlignment="1">
      <alignment horizontal="right"/>
    </xf>
    <xf numFmtId="9" fontId="2" fillId="2" borderId="1" xfId="2" applyFont="1" applyFill="1" applyBorder="1" applyAlignment="1">
      <alignment horizontal="right"/>
    </xf>
    <xf numFmtId="44" fontId="0" fillId="0" borderId="0" xfId="1" applyFont="1" applyFill="1" applyBorder="1" applyAlignment="1">
      <alignment horizontal="right"/>
    </xf>
    <xf numFmtId="44" fontId="0" fillId="0" borderId="0" xfId="1" applyFont="1" applyBorder="1" applyAlignment="1">
      <alignment horizontal="right"/>
    </xf>
    <xf numFmtId="44" fontId="0" fillId="0" borderId="7" xfId="1" applyFont="1" applyBorder="1" applyAlignment="1">
      <alignment horizontal="right"/>
    </xf>
    <xf numFmtId="44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5" fontId="11" fillId="5" borderId="0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 vertical="center"/>
    </xf>
    <xf numFmtId="44" fontId="2" fillId="0" borderId="1" xfId="1" applyFont="1" applyFill="1" applyBorder="1" applyAlignment="1">
      <alignment horizontal="center"/>
    </xf>
    <xf numFmtId="165" fontId="11" fillId="2" borderId="0" xfId="0" applyNumberFormat="1" applyFont="1" applyFill="1" applyAlignment="1">
      <alignment horizontal="center"/>
    </xf>
    <xf numFmtId="0" fontId="3" fillId="0" borderId="0" xfId="0" applyFont="1" applyAlignment="1">
      <alignment horizontal="left"/>
    </xf>
    <xf numFmtId="0" fontId="8" fillId="0" borderId="3" xfId="0" applyFont="1" applyBorder="1" applyAlignment="1">
      <alignment horizontal="right" vertical="center"/>
    </xf>
    <xf numFmtId="0" fontId="8" fillId="0" borderId="4" xfId="0" applyFont="1" applyBorder="1" applyAlignment="1">
      <alignment horizontal="right" vertical="center"/>
    </xf>
    <xf numFmtId="0" fontId="8" fillId="0" borderId="5" xfId="0" applyFont="1" applyBorder="1" applyAlignment="1">
      <alignment horizontal="right" vertical="center"/>
    </xf>
    <xf numFmtId="44" fontId="7" fillId="0" borderId="0" xfId="0" applyNumberFormat="1" applyFont="1" applyAlignment="1">
      <alignment horizontal="center" vertical="center"/>
    </xf>
  </cellXfs>
  <cellStyles count="3">
    <cellStyle name="Moneda" xfId="1" builtinId="4"/>
    <cellStyle name="Normal" xfId="0" builtinId="0"/>
    <cellStyle name="Porcentaje" xfId="2" builtinId="5"/>
  </cellStyles>
  <dxfs count="133"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fill>
        <patternFill patternType="none">
          <fgColor indexed="64"/>
          <bgColor indexed="6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fill>
        <patternFill patternType="none">
          <fgColor indexed="64"/>
          <bgColor indexed="6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fill>
        <patternFill patternType="none">
          <fgColor indexed="64"/>
          <bgColor indexed="6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octubre de 2019</a:t>
            </a:r>
          </a:p>
        </c:rich>
      </c:tx>
      <c:layout>
        <c:manualLayout>
          <c:xMode val="edge"/>
          <c:yMode val="edge"/>
          <c:x val="0.42594021556906697"/>
          <c:y val="2.70480580792875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JUAN</c:v>
          </c:tx>
          <c:spPr>
            <a:ln w="25400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5"/>
            <c:spPr>
              <a:solidFill>
                <a:schemeClr val="bg1"/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'Resumen oct'!$D$62:$D$122</c:f>
              <c:numCache>
                <c:formatCode>_("$"* #,##0.00_);_("$"* \(#,##0.00\);_("$"* "-"??_);_(@_)</c:formatCode>
                <c:ptCount val="31"/>
                <c:pt idx="0">
                  <c:v>816.37</c:v>
                </c:pt>
                <c:pt idx="1">
                  <c:v>816.38</c:v>
                </c:pt>
                <c:pt idx="2">
                  <c:v>816.38</c:v>
                </c:pt>
                <c:pt idx="3">
                  <c:v>816.38</c:v>
                </c:pt>
                <c:pt idx="4">
                  <c:v>2279.29</c:v>
                </c:pt>
                <c:pt idx="5">
                  <c:v>6688.65</c:v>
                </c:pt>
                <c:pt idx="6">
                  <c:v>6688.65</c:v>
                </c:pt>
                <c:pt idx="7">
                  <c:v>6688.66</c:v>
                </c:pt>
                <c:pt idx="8">
                  <c:v>6688.66</c:v>
                </c:pt>
                <c:pt idx="9">
                  <c:v>7205.03</c:v>
                </c:pt>
                <c:pt idx="10">
                  <c:v>10230.790000000001</c:v>
                </c:pt>
                <c:pt idx="11">
                  <c:v>10445.44</c:v>
                </c:pt>
                <c:pt idx="12">
                  <c:v>11175.6</c:v>
                </c:pt>
                <c:pt idx="13">
                  <c:v>11518.7</c:v>
                </c:pt>
                <c:pt idx="14">
                  <c:v>11518.710000000001</c:v>
                </c:pt>
                <c:pt idx="15">
                  <c:v>11518.710000000001</c:v>
                </c:pt>
                <c:pt idx="16">
                  <c:v>11518.710000000001</c:v>
                </c:pt>
                <c:pt idx="17">
                  <c:v>13420.29</c:v>
                </c:pt>
                <c:pt idx="18">
                  <c:v>13420.29</c:v>
                </c:pt>
                <c:pt idx="19">
                  <c:v>13420.29</c:v>
                </c:pt>
                <c:pt idx="20">
                  <c:v>13420.29</c:v>
                </c:pt>
                <c:pt idx="21">
                  <c:v>13420.300000000001</c:v>
                </c:pt>
                <c:pt idx="22">
                  <c:v>14281.500000000002</c:v>
                </c:pt>
                <c:pt idx="23">
                  <c:v>14281.500000000002</c:v>
                </c:pt>
                <c:pt idx="24">
                  <c:v>14581.500000000002</c:v>
                </c:pt>
                <c:pt idx="25">
                  <c:v>14581.500000000002</c:v>
                </c:pt>
                <c:pt idx="26">
                  <c:v>16042.680000000002</c:v>
                </c:pt>
                <c:pt idx="27">
                  <c:v>16042.680000000002</c:v>
                </c:pt>
                <c:pt idx="28">
                  <c:v>16042.680000000002</c:v>
                </c:pt>
                <c:pt idx="29">
                  <c:v>16042.680000000002</c:v>
                </c:pt>
                <c:pt idx="30">
                  <c:v>18691.580000000002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BB-4EA3-864C-5AC5813D1432}"/>
            </c:ext>
          </c:extLst>
        </c:ser>
        <c:ser>
          <c:idx val="1"/>
          <c:order val="1"/>
          <c:tx>
            <c:v>CARLOS</c:v>
          </c:tx>
          <c:spPr>
            <a:ln w="25400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5"/>
            <c:spPr>
              <a:solidFill>
                <a:schemeClr val="bg1"/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'Resumen oct'!$E$62:$E$122</c:f>
              <c:numCache>
                <c:formatCode>_("$"* #,##0.00_);_("$"* \(#,##0.00\);_("$"* "-"??_);_(@_)</c:formatCode>
                <c:ptCount val="31"/>
                <c:pt idx="0">
                  <c:v>842.22</c:v>
                </c:pt>
                <c:pt idx="1">
                  <c:v>842.22</c:v>
                </c:pt>
                <c:pt idx="2">
                  <c:v>2865.5</c:v>
                </c:pt>
                <c:pt idx="3">
                  <c:v>3381.88</c:v>
                </c:pt>
                <c:pt idx="4">
                  <c:v>3381.88</c:v>
                </c:pt>
                <c:pt idx="5">
                  <c:v>3381.8900000000003</c:v>
                </c:pt>
                <c:pt idx="6">
                  <c:v>3381.9000000000005</c:v>
                </c:pt>
                <c:pt idx="7">
                  <c:v>3381.9000000000005</c:v>
                </c:pt>
                <c:pt idx="8">
                  <c:v>3381.9000000000005</c:v>
                </c:pt>
                <c:pt idx="9">
                  <c:v>3381.9000000000005</c:v>
                </c:pt>
                <c:pt idx="10">
                  <c:v>20004.57</c:v>
                </c:pt>
                <c:pt idx="11">
                  <c:v>31037.329999999998</c:v>
                </c:pt>
                <c:pt idx="12">
                  <c:v>31037.329999999998</c:v>
                </c:pt>
                <c:pt idx="13">
                  <c:v>31037.339999999997</c:v>
                </c:pt>
                <c:pt idx="14">
                  <c:v>34581.129999999997</c:v>
                </c:pt>
                <c:pt idx="15">
                  <c:v>34581.129999999997</c:v>
                </c:pt>
                <c:pt idx="16">
                  <c:v>38316.399999999994</c:v>
                </c:pt>
                <c:pt idx="17">
                  <c:v>38316.399999999994</c:v>
                </c:pt>
                <c:pt idx="18">
                  <c:v>38660.369999999995</c:v>
                </c:pt>
                <c:pt idx="19">
                  <c:v>39392.259999999995</c:v>
                </c:pt>
                <c:pt idx="20">
                  <c:v>42216.399999999994</c:v>
                </c:pt>
                <c:pt idx="21">
                  <c:v>44654.329999999994</c:v>
                </c:pt>
                <c:pt idx="22">
                  <c:v>44654.34</c:v>
                </c:pt>
                <c:pt idx="23">
                  <c:v>44654.34</c:v>
                </c:pt>
                <c:pt idx="24">
                  <c:v>46773.469999999994</c:v>
                </c:pt>
                <c:pt idx="25">
                  <c:v>47447.109999999993</c:v>
                </c:pt>
                <c:pt idx="26">
                  <c:v>47447.109999999993</c:v>
                </c:pt>
                <c:pt idx="27">
                  <c:v>47447.119999999995</c:v>
                </c:pt>
                <c:pt idx="28">
                  <c:v>47920.399999999994</c:v>
                </c:pt>
                <c:pt idx="29">
                  <c:v>47920.399999999994</c:v>
                </c:pt>
                <c:pt idx="30">
                  <c:v>47920.399999999994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BB-4EA3-864C-5AC5813D1432}"/>
            </c:ext>
          </c:extLst>
        </c:ser>
        <c:ser>
          <c:idx val="2"/>
          <c:order val="2"/>
          <c:tx>
            <c:v>SM Universidad Mty.</c:v>
          </c:tx>
          <c:spPr>
            <a:ln w="25400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5"/>
            <c:spPr>
              <a:solidFill>
                <a:schemeClr val="bg1"/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'Resumen oct'!$F$62:$F$122</c:f>
              <c:numCache>
                <c:formatCode>_("$"* #,##0.00_);_("$"* \(#,##0.00\);_("$"* "-"??_);_(@_)</c:formatCode>
                <c:ptCount val="31"/>
                <c:pt idx="0">
                  <c:v>1658.5900000000001</c:v>
                </c:pt>
                <c:pt idx="1">
                  <c:v>1658.6</c:v>
                </c:pt>
                <c:pt idx="2">
                  <c:v>3681.88</c:v>
                </c:pt>
                <c:pt idx="3">
                  <c:v>4198.26</c:v>
                </c:pt>
                <c:pt idx="4">
                  <c:v>5661.17</c:v>
                </c:pt>
                <c:pt idx="5">
                  <c:v>10070.540000000001</c:v>
                </c:pt>
                <c:pt idx="6">
                  <c:v>10070.549999999999</c:v>
                </c:pt>
                <c:pt idx="7">
                  <c:v>10070.560000000001</c:v>
                </c:pt>
                <c:pt idx="8">
                  <c:v>10070.560000000001</c:v>
                </c:pt>
                <c:pt idx="9">
                  <c:v>10586.93</c:v>
                </c:pt>
                <c:pt idx="10">
                  <c:v>30235.360000000001</c:v>
                </c:pt>
                <c:pt idx="11">
                  <c:v>41482.769999999997</c:v>
                </c:pt>
                <c:pt idx="12">
                  <c:v>42212.93</c:v>
                </c:pt>
                <c:pt idx="13">
                  <c:v>42556.039999999994</c:v>
                </c:pt>
                <c:pt idx="14">
                  <c:v>46099.839999999997</c:v>
                </c:pt>
                <c:pt idx="15">
                  <c:v>46099.839999999997</c:v>
                </c:pt>
                <c:pt idx="16">
                  <c:v>49835.109999999993</c:v>
                </c:pt>
                <c:pt idx="17">
                  <c:v>51736.689999999995</c:v>
                </c:pt>
                <c:pt idx="18">
                  <c:v>52080.659999999996</c:v>
                </c:pt>
                <c:pt idx="19">
                  <c:v>52812.549999999996</c:v>
                </c:pt>
                <c:pt idx="20">
                  <c:v>55636.689999999995</c:v>
                </c:pt>
                <c:pt idx="21">
                  <c:v>58074.63</c:v>
                </c:pt>
                <c:pt idx="22">
                  <c:v>58935.839999999997</c:v>
                </c:pt>
                <c:pt idx="23">
                  <c:v>58935.839999999997</c:v>
                </c:pt>
                <c:pt idx="24">
                  <c:v>61354.969999999994</c:v>
                </c:pt>
                <c:pt idx="25">
                  <c:v>62028.609999999993</c:v>
                </c:pt>
                <c:pt idx="26">
                  <c:v>63489.789999999994</c:v>
                </c:pt>
                <c:pt idx="27">
                  <c:v>63489.799999999996</c:v>
                </c:pt>
                <c:pt idx="28">
                  <c:v>63963.079999999994</c:v>
                </c:pt>
                <c:pt idx="29">
                  <c:v>63963.079999999994</c:v>
                </c:pt>
                <c:pt idx="30">
                  <c:v>66611.98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72-4839-84B5-5FFF5CFBFE60}"/>
            </c:ext>
          </c:extLst>
        </c:ser>
        <c:ser>
          <c:idx val="3"/>
          <c:order val="3"/>
          <c:tx>
            <c:v>   </c:v>
          </c:tx>
          <c:spPr>
            <a:ln w="12700" cap="rnd">
              <a:solidFill>
                <a:schemeClr val="bg1">
                  <a:lumMod val="95000"/>
                  <a:alpha val="4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'Resumen oct'!$G$62:$G$122</c:f>
              <c:numCache>
                <c:formatCode>_("$"* #,##0.00_);_("$"* \(#,##0.00\);_("$"* "-"??_);_(@_)</c:formatCode>
                <c:ptCount val="31"/>
                <c:pt idx="0">
                  <c:v>40000</c:v>
                </c:pt>
                <c:pt idx="1">
                  <c:v>40000</c:v>
                </c:pt>
                <c:pt idx="2">
                  <c:v>40000</c:v>
                </c:pt>
                <c:pt idx="3">
                  <c:v>40000</c:v>
                </c:pt>
                <c:pt idx="4">
                  <c:v>40000</c:v>
                </c:pt>
                <c:pt idx="5">
                  <c:v>40000</c:v>
                </c:pt>
                <c:pt idx="6">
                  <c:v>40000</c:v>
                </c:pt>
                <c:pt idx="7">
                  <c:v>40000</c:v>
                </c:pt>
                <c:pt idx="8">
                  <c:v>40000</c:v>
                </c:pt>
                <c:pt idx="9">
                  <c:v>40000</c:v>
                </c:pt>
                <c:pt idx="10">
                  <c:v>40000</c:v>
                </c:pt>
                <c:pt idx="11">
                  <c:v>40000</c:v>
                </c:pt>
                <c:pt idx="12">
                  <c:v>40000</c:v>
                </c:pt>
                <c:pt idx="13">
                  <c:v>40000</c:v>
                </c:pt>
                <c:pt idx="14">
                  <c:v>40000</c:v>
                </c:pt>
                <c:pt idx="15">
                  <c:v>40000</c:v>
                </c:pt>
                <c:pt idx="16">
                  <c:v>40000</c:v>
                </c:pt>
                <c:pt idx="17">
                  <c:v>40000</c:v>
                </c:pt>
                <c:pt idx="18">
                  <c:v>40000</c:v>
                </c:pt>
                <c:pt idx="19">
                  <c:v>40000</c:v>
                </c:pt>
                <c:pt idx="20">
                  <c:v>40000</c:v>
                </c:pt>
                <c:pt idx="21">
                  <c:v>40000</c:v>
                </c:pt>
                <c:pt idx="22">
                  <c:v>40000</c:v>
                </c:pt>
                <c:pt idx="23">
                  <c:v>40000</c:v>
                </c:pt>
                <c:pt idx="24">
                  <c:v>40000</c:v>
                </c:pt>
                <c:pt idx="25">
                  <c:v>40000</c:v>
                </c:pt>
                <c:pt idx="26">
                  <c:v>40000</c:v>
                </c:pt>
                <c:pt idx="27">
                  <c:v>40000</c:v>
                </c:pt>
                <c:pt idx="28">
                  <c:v>40000</c:v>
                </c:pt>
                <c:pt idx="29">
                  <c:v>40000</c:v>
                </c:pt>
                <c:pt idx="30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72-4839-84B5-5FFF5CFBFE60}"/>
            </c:ext>
          </c:extLst>
        </c:ser>
        <c:ser>
          <c:idx val="4"/>
          <c:order val="4"/>
          <c:tx>
            <c:v>   </c:v>
          </c:tx>
          <c:spPr>
            <a:ln w="3175" cap="rnd">
              <a:solidFill>
                <a:schemeClr val="bg1">
                  <a:lumMod val="85000"/>
                  <a:alpha val="48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'Resumen oct'!$H$62:$H$122</c:f>
              <c:numCache>
                <c:formatCode>_("$"* #,##0.00_);_("$"* \(#,##0.00\);_("$"* "-"??_);_(@_)</c:formatCode>
                <c:ptCount val="31"/>
                <c:pt idx="0">
                  <c:v>80000</c:v>
                </c:pt>
                <c:pt idx="1">
                  <c:v>80000</c:v>
                </c:pt>
                <c:pt idx="2">
                  <c:v>80000</c:v>
                </c:pt>
                <c:pt idx="3">
                  <c:v>80000</c:v>
                </c:pt>
                <c:pt idx="4">
                  <c:v>80000</c:v>
                </c:pt>
                <c:pt idx="5">
                  <c:v>80000</c:v>
                </c:pt>
                <c:pt idx="6">
                  <c:v>80000</c:v>
                </c:pt>
                <c:pt idx="7">
                  <c:v>80000</c:v>
                </c:pt>
                <c:pt idx="8">
                  <c:v>80000</c:v>
                </c:pt>
                <c:pt idx="9">
                  <c:v>80000</c:v>
                </c:pt>
                <c:pt idx="10">
                  <c:v>80000</c:v>
                </c:pt>
                <c:pt idx="11">
                  <c:v>80000</c:v>
                </c:pt>
                <c:pt idx="12">
                  <c:v>80000</c:v>
                </c:pt>
                <c:pt idx="13">
                  <c:v>80000</c:v>
                </c:pt>
                <c:pt idx="14">
                  <c:v>80000</c:v>
                </c:pt>
                <c:pt idx="15">
                  <c:v>80000</c:v>
                </c:pt>
                <c:pt idx="16">
                  <c:v>80000</c:v>
                </c:pt>
                <c:pt idx="17">
                  <c:v>80000</c:v>
                </c:pt>
                <c:pt idx="18">
                  <c:v>80000</c:v>
                </c:pt>
                <c:pt idx="19">
                  <c:v>80000</c:v>
                </c:pt>
                <c:pt idx="20">
                  <c:v>80000</c:v>
                </c:pt>
                <c:pt idx="21">
                  <c:v>80000</c:v>
                </c:pt>
                <c:pt idx="22">
                  <c:v>80000</c:v>
                </c:pt>
                <c:pt idx="23">
                  <c:v>80000</c:v>
                </c:pt>
                <c:pt idx="24">
                  <c:v>80000</c:v>
                </c:pt>
                <c:pt idx="25">
                  <c:v>80000</c:v>
                </c:pt>
                <c:pt idx="26">
                  <c:v>80000</c:v>
                </c:pt>
                <c:pt idx="27">
                  <c:v>80000</c:v>
                </c:pt>
                <c:pt idx="28">
                  <c:v>80000</c:v>
                </c:pt>
                <c:pt idx="29">
                  <c:v>80000</c:v>
                </c:pt>
                <c:pt idx="30">
                  <c:v>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72-4839-84B5-5FFF5CFBFE60}"/>
            </c:ext>
          </c:extLst>
        </c:ser>
        <c:ser>
          <c:idx val="5"/>
          <c:order val="5"/>
          <c:tx>
            <c:v>            </c:v>
          </c:tx>
          <c:spPr>
            <a:ln w="0" cap="rnd">
              <a:solidFill>
                <a:schemeClr val="bg1">
                  <a:lumMod val="95000"/>
                  <a:alpha val="48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'Resumen oct'!$I$62:$I$122</c:f>
              <c:numCache>
                <c:formatCode>_("$"* #,##0.00_);_("$"* \(#,##0.00\);_("$"* "-"??_);_(@_)</c:formatCode>
                <c:ptCount val="31"/>
                <c:pt idx="0">
                  <c:v>76000</c:v>
                </c:pt>
                <c:pt idx="1">
                  <c:v>76000</c:v>
                </c:pt>
                <c:pt idx="2">
                  <c:v>76000</c:v>
                </c:pt>
                <c:pt idx="3">
                  <c:v>76000</c:v>
                </c:pt>
                <c:pt idx="4">
                  <c:v>76000</c:v>
                </c:pt>
                <c:pt idx="5">
                  <c:v>76000</c:v>
                </c:pt>
                <c:pt idx="6">
                  <c:v>76000</c:v>
                </c:pt>
                <c:pt idx="7">
                  <c:v>76000</c:v>
                </c:pt>
                <c:pt idx="8">
                  <c:v>76000</c:v>
                </c:pt>
                <c:pt idx="9">
                  <c:v>76000</c:v>
                </c:pt>
                <c:pt idx="10">
                  <c:v>76000</c:v>
                </c:pt>
                <c:pt idx="11">
                  <c:v>76000</c:v>
                </c:pt>
                <c:pt idx="12">
                  <c:v>76000</c:v>
                </c:pt>
                <c:pt idx="13">
                  <c:v>76000</c:v>
                </c:pt>
                <c:pt idx="14">
                  <c:v>76000</c:v>
                </c:pt>
                <c:pt idx="15">
                  <c:v>76000</c:v>
                </c:pt>
                <c:pt idx="16">
                  <c:v>76000</c:v>
                </c:pt>
                <c:pt idx="17">
                  <c:v>76000</c:v>
                </c:pt>
                <c:pt idx="18">
                  <c:v>76000</c:v>
                </c:pt>
                <c:pt idx="19">
                  <c:v>76000</c:v>
                </c:pt>
                <c:pt idx="20">
                  <c:v>76000</c:v>
                </c:pt>
                <c:pt idx="21">
                  <c:v>76000</c:v>
                </c:pt>
                <c:pt idx="22">
                  <c:v>76000</c:v>
                </c:pt>
                <c:pt idx="23">
                  <c:v>76000</c:v>
                </c:pt>
                <c:pt idx="24">
                  <c:v>76000</c:v>
                </c:pt>
                <c:pt idx="25">
                  <c:v>76000</c:v>
                </c:pt>
                <c:pt idx="26">
                  <c:v>76000</c:v>
                </c:pt>
                <c:pt idx="27">
                  <c:v>76000</c:v>
                </c:pt>
                <c:pt idx="28">
                  <c:v>76000</c:v>
                </c:pt>
                <c:pt idx="29">
                  <c:v>76000</c:v>
                </c:pt>
                <c:pt idx="30">
                  <c:v>76000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72-4839-84B5-5FFF5CFBF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9221280"/>
        <c:axId val="-219227808"/>
      </c:lineChart>
      <c:catAx>
        <c:axId val="-219221280"/>
        <c:scaling>
          <c:orientation val="minMax"/>
        </c:scaling>
        <c:delete val="0"/>
        <c:axPos val="b"/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219227808"/>
        <c:crosses val="autoZero"/>
        <c:auto val="1"/>
        <c:lblAlgn val="ctr"/>
        <c:lblOffset val="100"/>
        <c:noMultiLvlLbl val="0"/>
      </c:catAx>
      <c:valAx>
        <c:axId val="-219227808"/>
        <c:scaling>
          <c:orientation val="minMax"/>
          <c:max val="1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20000"/>
                </a:schemeClr>
              </a:solidFill>
              <a:prstDash val="sysDot"/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219221280"/>
        <c:crosses val="autoZero"/>
        <c:crossBetween val="between"/>
        <c:majorUnit val="5000"/>
        <c:minorUnit val="5000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Ventas diarias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Juan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'Resumen oct'!$D$126:$D$186</c:f>
              <c:numCache>
                <c:formatCode>_("$"* #,##0.00_);_("$"* \(#,##0.00\);_("$"* "-"??_);_(@_)</c:formatCode>
                <c:ptCount val="31"/>
                <c:pt idx="0">
                  <c:v>816.37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1462.9099999999999</c:v>
                </c:pt>
                <c:pt idx="5">
                  <c:v>4409.3599999999997</c:v>
                </c:pt>
                <c:pt idx="6">
                  <c:v>0</c:v>
                </c:pt>
                <c:pt idx="7">
                  <c:v>0.01</c:v>
                </c:pt>
                <c:pt idx="8">
                  <c:v>0</c:v>
                </c:pt>
                <c:pt idx="9">
                  <c:v>516.37</c:v>
                </c:pt>
                <c:pt idx="10">
                  <c:v>3025.76</c:v>
                </c:pt>
                <c:pt idx="11">
                  <c:v>214.65</c:v>
                </c:pt>
                <c:pt idx="12">
                  <c:v>730.16</c:v>
                </c:pt>
                <c:pt idx="13">
                  <c:v>343.1</c:v>
                </c:pt>
                <c:pt idx="14">
                  <c:v>0.01</c:v>
                </c:pt>
                <c:pt idx="15">
                  <c:v>0</c:v>
                </c:pt>
                <c:pt idx="16">
                  <c:v>0</c:v>
                </c:pt>
                <c:pt idx="17">
                  <c:v>1901.58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0.01</c:v>
                </c:pt>
                <c:pt idx="22">
                  <c:v>861.2</c:v>
                </c:pt>
                <c:pt idx="23">
                  <c:v>0</c:v>
                </c:pt>
                <c:pt idx="24">
                  <c:v>300</c:v>
                </c:pt>
                <c:pt idx="25">
                  <c:v>0</c:v>
                </c:pt>
                <c:pt idx="26">
                  <c:v>1461.1799999999998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2648.9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C-42C4-9059-86BDC5E51334}"/>
            </c:ext>
          </c:extLst>
        </c:ser>
        <c:ser>
          <c:idx val="1"/>
          <c:order val="1"/>
          <c:tx>
            <c:v>Carlos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'Resumen oct'!$E$126:$E$186</c:f>
              <c:numCache>
                <c:formatCode>_("$"* #,##0.00_);_("$"* \(#,##0.00\);_("$"* "-"??_);_(@_)</c:formatCode>
                <c:ptCount val="31"/>
                <c:pt idx="0">
                  <c:v>842.22</c:v>
                </c:pt>
                <c:pt idx="1">
                  <c:v>0</c:v>
                </c:pt>
                <c:pt idx="2">
                  <c:v>2023.28</c:v>
                </c:pt>
                <c:pt idx="3">
                  <c:v>516.38</c:v>
                </c:pt>
                <c:pt idx="4">
                  <c:v>0</c:v>
                </c:pt>
                <c:pt idx="5">
                  <c:v>0.01</c:v>
                </c:pt>
                <c:pt idx="6">
                  <c:v>0.01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16622.669999999998</c:v>
                </c:pt>
                <c:pt idx="11">
                  <c:v>11032.759999999998</c:v>
                </c:pt>
                <c:pt idx="12">
                  <c:v>0</c:v>
                </c:pt>
                <c:pt idx="13">
                  <c:v>0.01</c:v>
                </c:pt>
                <c:pt idx="14">
                  <c:v>3543.79</c:v>
                </c:pt>
                <c:pt idx="15">
                  <c:v>0</c:v>
                </c:pt>
                <c:pt idx="16">
                  <c:v>3735.27</c:v>
                </c:pt>
                <c:pt idx="17">
                  <c:v>0</c:v>
                </c:pt>
                <c:pt idx="18">
                  <c:v>343.97</c:v>
                </c:pt>
                <c:pt idx="19">
                  <c:v>731.89</c:v>
                </c:pt>
                <c:pt idx="20">
                  <c:v>2824.14</c:v>
                </c:pt>
                <c:pt idx="21">
                  <c:v>2437.9299999999998</c:v>
                </c:pt>
                <c:pt idx="22">
                  <c:v>0.01</c:v>
                </c:pt>
                <c:pt idx="23">
                  <c:v>0</c:v>
                </c:pt>
                <c:pt idx="24">
                  <c:v>2119.13</c:v>
                </c:pt>
                <c:pt idx="25">
                  <c:v>673.64</c:v>
                </c:pt>
                <c:pt idx="26">
                  <c:v>0</c:v>
                </c:pt>
                <c:pt idx="27">
                  <c:v>0.01</c:v>
                </c:pt>
                <c:pt idx="28">
                  <c:v>473.28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DC-42C4-9059-86BDC5E51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9228896"/>
        <c:axId val="-219218016"/>
      </c:barChart>
      <c:lineChart>
        <c:grouping val="standard"/>
        <c:varyColors val="0"/>
        <c:ser>
          <c:idx val="2"/>
          <c:order val="2"/>
          <c:tx>
            <c:v>SM Universidad Mty.</c:v>
          </c:tx>
          <c:spPr>
            <a:ln w="2222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3"/>
            <c:spPr>
              <a:solidFill>
                <a:schemeClr val="bg1"/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'Resumen oct'!$F$126:$F$186</c:f>
              <c:numCache>
                <c:formatCode>_("$"* #,##0.00_);_("$"* \(#,##0.00\);_("$"* "-"??_);_(@_)</c:formatCode>
                <c:ptCount val="31"/>
                <c:pt idx="0">
                  <c:v>1658.5900000000001</c:v>
                </c:pt>
                <c:pt idx="1">
                  <c:v>0.01</c:v>
                </c:pt>
                <c:pt idx="2">
                  <c:v>2023.28</c:v>
                </c:pt>
                <c:pt idx="3">
                  <c:v>516.38</c:v>
                </c:pt>
                <c:pt idx="4">
                  <c:v>1462.9099999999999</c:v>
                </c:pt>
                <c:pt idx="5">
                  <c:v>4409.37</c:v>
                </c:pt>
                <c:pt idx="6">
                  <c:v>0.01</c:v>
                </c:pt>
                <c:pt idx="7">
                  <c:v>0.01</c:v>
                </c:pt>
                <c:pt idx="8">
                  <c:v>0</c:v>
                </c:pt>
                <c:pt idx="9">
                  <c:v>516.37</c:v>
                </c:pt>
                <c:pt idx="10">
                  <c:v>19648.43</c:v>
                </c:pt>
                <c:pt idx="11">
                  <c:v>11247.409999999998</c:v>
                </c:pt>
                <c:pt idx="12">
                  <c:v>730.16</c:v>
                </c:pt>
                <c:pt idx="13">
                  <c:v>343.11</c:v>
                </c:pt>
                <c:pt idx="14">
                  <c:v>3543.8</c:v>
                </c:pt>
                <c:pt idx="15">
                  <c:v>0</c:v>
                </c:pt>
                <c:pt idx="16">
                  <c:v>3735.27</c:v>
                </c:pt>
                <c:pt idx="17">
                  <c:v>1901.58</c:v>
                </c:pt>
                <c:pt idx="18">
                  <c:v>343.97</c:v>
                </c:pt>
                <c:pt idx="19">
                  <c:v>731.89</c:v>
                </c:pt>
                <c:pt idx="20">
                  <c:v>2824.14</c:v>
                </c:pt>
                <c:pt idx="21">
                  <c:v>2437.94</c:v>
                </c:pt>
                <c:pt idx="22">
                  <c:v>861.21</c:v>
                </c:pt>
                <c:pt idx="23">
                  <c:v>0</c:v>
                </c:pt>
                <c:pt idx="24">
                  <c:v>2419.13</c:v>
                </c:pt>
                <c:pt idx="25">
                  <c:v>673.64</c:v>
                </c:pt>
                <c:pt idx="26">
                  <c:v>1461.1799999999998</c:v>
                </c:pt>
                <c:pt idx="27">
                  <c:v>0.01</c:v>
                </c:pt>
                <c:pt idx="28">
                  <c:v>473.28</c:v>
                </c:pt>
                <c:pt idx="29">
                  <c:v>0</c:v>
                </c:pt>
                <c:pt idx="30">
                  <c:v>2648.9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DC-42C4-9059-86BDC5E51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9228896"/>
        <c:axId val="-219218016"/>
      </c:lineChart>
      <c:dateAx>
        <c:axId val="-21922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in"/>
        <c:minorTickMark val="cross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219218016"/>
        <c:crosses val="autoZero"/>
        <c:auto val="0"/>
        <c:lblOffset val="100"/>
        <c:baseTimeUnit val="days"/>
      </c:dateAx>
      <c:valAx>
        <c:axId val="-219218016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_(&quot;$&quot;* #,##0_);_(&quot;$&quot;* \(#,##0\);_(&quot;$&quot;* &quot;-&quot;_);_(@_)" sourceLinked="0"/>
        <c:majorTickMark val="none"/>
        <c:minorTickMark val="in"/>
        <c:tickLblPos val="nextTo"/>
        <c:spPr>
          <a:noFill/>
          <a:ln>
            <a:solidFill>
              <a:schemeClr val="tx1">
                <a:lumMod val="85000"/>
                <a:lumOff val="1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219228896"/>
        <c:crosses val="autoZero"/>
        <c:crossBetween val="between"/>
        <c:majorUnit val="1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span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septiembre de 2019</a:t>
            </a:r>
          </a:p>
        </c:rich>
      </c:tx>
      <c:layout>
        <c:manualLayout>
          <c:xMode val="edge"/>
          <c:yMode val="edge"/>
          <c:x val="0.42594021556906697"/>
          <c:y val="2.70480580792875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JUAN</c:v>
          </c:tx>
          <c:spPr>
            <a:ln w="25400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5"/>
            <c:spPr>
              <a:solidFill>
                <a:schemeClr val="bg1"/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'Resumen sep'!$D$62:$D$122</c:f>
              <c:numCache>
                <c:formatCode>_("$"* #,##0.00_);_("$"* \(#,##0.00\);_("$"* "-"??_);_(@_)</c:formatCode>
                <c:ptCount val="31"/>
                <c:pt idx="0">
                  <c:v>0</c:v>
                </c:pt>
                <c:pt idx="1">
                  <c:v>993.6</c:v>
                </c:pt>
                <c:pt idx="2">
                  <c:v>993.61</c:v>
                </c:pt>
                <c:pt idx="3">
                  <c:v>1293.6100000000001</c:v>
                </c:pt>
                <c:pt idx="4">
                  <c:v>3232.4</c:v>
                </c:pt>
                <c:pt idx="5">
                  <c:v>3232.4</c:v>
                </c:pt>
                <c:pt idx="6">
                  <c:v>3921.19</c:v>
                </c:pt>
                <c:pt idx="7">
                  <c:v>4307.3900000000003</c:v>
                </c:pt>
                <c:pt idx="8">
                  <c:v>9691.86</c:v>
                </c:pt>
                <c:pt idx="9">
                  <c:v>9691.8700000000008</c:v>
                </c:pt>
                <c:pt idx="10">
                  <c:v>9691.8700000000008</c:v>
                </c:pt>
                <c:pt idx="11">
                  <c:v>9820.7400000000016</c:v>
                </c:pt>
                <c:pt idx="12">
                  <c:v>10379.280000000002</c:v>
                </c:pt>
                <c:pt idx="13">
                  <c:v>16341.030000000002</c:v>
                </c:pt>
                <c:pt idx="14">
                  <c:v>18485.61</c:v>
                </c:pt>
                <c:pt idx="15">
                  <c:v>20648.89</c:v>
                </c:pt>
                <c:pt idx="16">
                  <c:v>20648.899999999998</c:v>
                </c:pt>
                <c:pt idx="17">
                  <c:v>20648.899999999998</c:v>
                </c:pt>
                <c:pt idx="18">
                  <c:v>20648.899999999998</c:v>
                </c:pt>
                <c:pt idx="19">
                  <c:v>21898.03</c:v>
                </c:pt>
                <c:pt idx="20">
                  <c:v>23147.16</c:v>
                </c:pt>
                <c:pt idx="21">
                  <c:v>23791.11</c:v>
                </c:pt>
                <c:pt idx="22">
                  <c:v>23791.11</c:v>
                </c:pt>
                <c:pt idx="23">
                  <c:v>23791.119999999999</c:v>
                </c:pt>
                <c:pt idx="24">
                  <c:v>23791.119999999999</c:v>
                </c:pt>
                <c:pt idx="25">
                  <c:v>24655</c:v>
                </c:pt>
                <c:pt idx="26">
                  <c:v>26850.739999999998</c:v>
                </c:pt>
                <c:pt idx="27">
                  <c:v>27177.46</c:v>
                </c:pt>
                <c:pt idx="28">
                  <c:v>33205.72</c:v>
                </c:pt>
                <c:pt idx="29">
                  <c:v>33462.61</c:v>
                </c:pt>
                <c:pt idx="30">
                  <c:v>33462.61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F6-4E4E-BE6A-C80496A2B4B5}"/>
            </c:ext>
          </c:extLst>
        </c:ser>
        <c:ser>
          <c:idx val="1"/>
          <c:order val="1"/>
          <c:tx>
            <c:v>CARLOS</c:v>
          </c:tx>
          <c:spPr>
            <a:ln w="25400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5"/>
            <c:spPr>
              <a:solidFill>
                <a:schemeClr val="bg1"/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'Resumen sep'!$E$62:$E$122</c:f>
              <c:numCache>
                <c:formatCode>_("$"* #,##0.00_);_("$"* \(#,##0.00\);_("$"* "-"??_);_(@_)</c:formatCode>
                <c:ptCount val="31"/>
                <c:pt idx="0">
                  <c:v>0</c:v>
                </c:pt>
                <c:pt idx="1">
                  <c:v>0.01</c:v>
                </c:pt>
                <c:pt idx="2">
                  <c:v>3478.51</c:v>
                </c:pt>
                <c:pt idx="3">
                  <c:v>3478.51</c:v>
                </c:pt>
                <c:pt idx="4">
                  <c:v>5639.52</c:v>
                </c:pt>
                <c:pt idx="5">
                  <c:v>10463.720000000001</c:v>
                </c:pt>
                <c:pt idx="6">
                  <c:v>10463.720000000001</c:v>
                </c:pt>
                <c:pt idx="7">
                  <c:v>10463.720000000001</c:v>
                </c:pt>
                <c:pt idx="8">
                  <c:v>10463.730000000001</c:v>
                </c:pt>
                <c:pt idx="9">
                  <c:v>10463.730000000001</c:v>
                </c:pt>
                <c:pt idx="10">
                  <c:v>10463.730000000001</c:v>
                </c:pt>
                <c:pt idx="11">
                  <c:v>11649.070000000002</c:v>
                </c:pt>
                <c:pt idx="12">
                  <c:v>16002.400000000001</c:v>
                </c:pt>
                <c:pt idx="13">
                  <c:v>18144.400000000001</c:v>
                </c:pt>
                <c:pt idx="14">
                  <c:v>21156.34</c:v>
                </c:pt>
                <c:pt idx="15">
                  <c:v>21590.13</c:v>
                </c:pt>
                <c:pt idx="16">
                  <c:v>21590.14</c:v>
                </c:pt>
                <c:pt idx="17">
                  <c:v>21590.14</c:v>
                </c:pt>
                <c:pt idx="18">
                  <c:v>22477.360000000001</c:v>
                </c:pt>
                <c:pt idx="19">
                  <c:v>22993.74</c:v>
                </c:pt>
                <c:pt idx="20">
                  <c:v>24415.29</c:v>
                </c:pt>
                <c:pt idx="21">
                  <c:v>25274.49</c:v>
                </c:pt>
                <c:pt idx="22">
                  <c:v>25274.5</c:v>
                </c:pt>
                <c:pt idx="23">
                  <c:v>28377.21</c:v>
                </c:pt>
                <c:pt idx="24">
                  <c:v>29755.66</c:v>
                </c:pt>
                <c:pt idx="25">
                  <c:v>29755.66</c:v>
                </c:pt>
                <c:pt idx="26">
                  <c:v>34447.51</c:v>
                </c:pt>
                <c:pt idx="27">
                  <c:v>34447.51</c:v>
                </c:pt>
                <c:pt idx="28">
                  <c:v>34447.520000000004</c:v>
                </c:pt>
                <c:pt idx="29">
                  <c:v>34447.530000000006</c:v>
                </c:pt>
                <c:pt idx="30">
                  <c:v>34447.530000000006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F6-4E4E-BE6A-C80496A2B4B5}"/>
            </c:ext>
          </c:extLst>
        </c:ser>
        <c:ser>
          <c:idx val="2"/>
          <c:order val="2"/>
          <c:tx>
            <c:v>SM Universidad Mty.</c:v>
          </c:tx>
          <c:spPr>
            <a:ln w="25400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5"/>
            <c:spPr>
              <a:solidFill>
                <a:schemeClr val="bg1"/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'Resumen sep'!$F$62:$F$122</c:f>
              <c:numCache>
                <c:formatCode>_("$"* #,##0.00_);_("$"* \(#,##0.00\);_("$"* "-"??_);_(@_)</c:formatCode>
                <c:ptCount val="31"/>
                <c:pt idx="0">
                  <c:v>0</c:v>
                </c:pt>
                <c:pt idx="1">
                  <c:v>993.61</c:v>
                </c:pt>
                <c:pt idx="2">
                  <c:v>4472.12</c:v>
                </c:pt>
                <c:pt idx="3">
                  <c:v>4772.1200000000008</c:v>
                </c:pt>
                <c:pt idx="4">
                  <c:v>8871.92</c:v>
                </c:pt>
                <c:pt idx="5">
                  <c:v>13696.12</c:v>
                </c:pt>
                <c:pt idx="6">
                  <c:v>14384.910000000002</c:v>
                </c:pt>
                <c:pt idx="7">
                  <c:v>14771.11</c:v>
                </c:pt>
                <c:pt idx="8">
                  <c:v>20155.590000000004</c:v>
                </c:pt>
                <c:pt idx="9">
                  <c:v>20155.600000000002</c:v>
                </c:pt>
                <c:pt idx="10">
                  <c:v>20155.600000000002</c:v>
                </c:pt>
                <c:pt idx="11">
                  <c:v>21469.810000000005</c:v>
                </c:pt>
                <c:pt idx="12">
                  <c:v>26381.680000000004</c:v>
                </c:pt>
                <c:pt idx="13">
                  <c:v>34485.430000000008</c:v>
                </c:pt>
                <c:pt idx="14">
                  <c:v>39641.949999999997</c:v>
                </c:pt>
                <c:pt idx="15">
                  <c:v>42239.020000000004</c:v>
                </c:pt>
                <c:pt idx="16">
                  <c:v>42239.039999999994</c:v>
                </c:pt>
                <c:pt idx="17">
                  <c:v>42239.039999999994</c:v>
                </c:pt>
                <c:pt idx="18">
                  <c:v>43126.259999999995</c:v>
                </c:pt>
                <c:pt idx="19">
                  <c:v>44891.770000000004</c:v>
                </c:pt>
                <c:pt idx="20">
                  <c:v>47562.45</c:v>
                </c:pt>
                <c:pt idx="21">
                  <c:v>49065.600000000006</c:v>
                </c:pt>
                <c:pt idx="22">
                  <c:v>49065.61</c:v>
                </c:pt>
                <c:pt idx="23">
                  <c:v>52168.33</c:v>
                </c:pt>
                <c:pt idx="24">
                  <c:v>53546.78</c:v>
                </c:pt>
                <c:pt idx="25">
                  <c:v>54410.66</c:v>
                </c:pt>
                <c:pt idx="26">
                  <c:v>61298.25</c:v>
                </c:pt>
                <c:pt idx="27">
                  <c:v>61624.97</c:v>
                </c:pt>
                <c:pt idx="28">
                  <c:v>67653.240000000005</c:v>
                </c:pt>
                <c:pt idx="29">
                  <c:v>67910.140000000014</c:v>
                </c:pt>
                <c:pt idx="30">
                  <c:v>67910.140000000014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F6-4E4E-BE6A-C80496A2B4B5}"/>
            </c:ext>
          </c:extLst>
        </c:ser>
        <c:ser>
          <c:idx val="3"/>
          <c:order val="3"/>
          <c:tx>
            <c:v>   </c:v>
          </c:tx>
          <c:spPr>
            <a:ln w="12700" cap="rnd">
              <a:solidFill>
                <a:schemeClr val="bg1">
                  <a:lumMod val="95000"/>
                  <a:alpha val="4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'Resumen sep'!$G$62:$G$122</c:f>
              <c:numCache>
                <c:formatCode>_("$"* #,##0.00_);_("$"* \(#,##0.00\);_("$"* "-"??_);_(@_)</c:formatCode>
                <c:ptCount val="31"/>
                <c:pt idx="0">
                  <c:v>37500</c:v>
                </c:pt>
                <c:pt idx="1">
                  <c:v>37500</c:v>
                </c:pt>
                <c:pt idx="2">
                  <c:v>37500</c:v>
                </c:pt>
                <c:pt idx="3">
                  <c:v>37500</c:v>
                </c:pt>
                <c:pt idx="4">
                  <c:v>37500</c:v>
                </c:pt>
                <c:pt idx="5">
                  <c:v>37500</c:v>
                </c:pt>
                <c:pt idx="6">
                  <c:v>37500</c:v>
                </c:pt>
                <c:pt idx="7">
                  <c:v>37500</c:v>
                </c:pt>
                <c:pt idx="8">
                  <c:v>37500</c:v>
                </c:pt>
                <c:pt idx="9">
                  <c:v>37500</c:v>
                </c:pt>
                <c:pt idx="10">
                  <c:v>37500</c:v>
                </c:pt>
                <c:pt idx="11">
                  <c:v>37500</c:v>
                </c:pt>
                <c:pt idx="12">
                  <c:v>37500</c:v>
                </c:pt>
                <c:pt idx="13">
                  <c:v>37500</c:v>
                </c:pt>
                <c:pt idx="14">
                  <c:v>37500</c:v>
                </c:pt>
                <c:pt idx="15">
                  <c:v>37500</c:v>
                </c:pt>
                <c:pt idx="16">
                  <c:v>37500</c:v>
                </c:pt>
                <c:pt idx="17">
                  <c:v>37500</c:v>
                </c:pt>
                <c:pt idx="18">
                  <c:v>37500</c:v>
                </c:pt>
                <c:pt idx="19">
                  <c:v>37500</c:v>
                </c:pt>
                <c:pt idx="20">
                  <c:v>37500</c:v>
                </c:pt>
                <c:pt idx="21">
                  <c:v>37500</c:v>
                </c:pt>
                <c:pt idx="22">
                  <c:v>37500</c:v>
                </c:pt>
                <c:pt idx="23">
                  <c:v>37500</c:v>
                </c:pt>
                <c:pt idx="24">
                  <c:v>37500</c:v>
                </c:pt>
                <c:pt idx="25">
                  <c:v>37500</c:v>
                </c:pt>
                <c:pt idx="26">
                  <c:v>37500</c:v>
                </c:pt>
                <c:pt idx="27">
                  <c:v>37500</c:v>
                </c:pt>
                <c:pt idx="28">
                  <c:v>37500</c:v>
                </c:pt>
                <c:pt idx="29">
                  <c:v>37500</c:v>
                </c:pt>
                <c:pt idx="30">
                  <c:v>37500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F6-4E4E-BE6A-C80496A2B4B5}"/>
            </c:ext>
          </c:extLst>
        </c:ser>
        <c:ser>
          <c:idx val="4"/>
          <c:order val="4"/>
          <c:tx>
            <c:v>   </c:v>
          </c:tx>
          <c:spPr>
            <a:ln w="3175" cap="rnd">
              <a:solidFill>
                <a:schemeClr val="bg1">
                  <a:lumMod val="85000"/>
                  <a:alpha val="48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'Resumen sep'!$H$62:$H$122</c:f>
              <c:numCache>
                <c:formatCode>_("$"* #,##0.00_);_("$"* \(#,##0.00\);_("$"* "-"??_);_(@_)</c:formatCode>
                <c:ptCount val="31"/>
                <c:pt idx="0">
                  <c:v>75000</c:v>
                </c:pt>
                <c:pt idx="1">
                  <c:v>75000</c:v>
                </c:pt>
                <c:pt idx="2">
                  <c:v>75000</c:v>
                </c:pt>
                <c:pt idx="3">
                  <c:v>75000</c:v>
                </c:pt>
                <c:pt idx="4">
                  <c:v>75000</c:v>
                </c:pt>
                <c:pt idx="5">
                  <c:v>75000</c:v>
                </c:pt>
                <c:pt idx="6">
                  <c:v>75000</c:v>
                </c:pt>
                <c:pt idx="7">
                  <c:v>75000</c:v>
                </c:pt>
                <c:pt idx="8">
                  <c:v>75000</c:v>
                </c:pt>
                <c:pt idx="9">
                  <c:v>75000</c:v>
                </c:pt>
                <c:pt idx="10">
                  <c:v>75000</c:v>
                </c:pt>
                <c:pt idx="11">
                  <c:v>75000</c:v>
                </c:pt>
                <c:pt idx="12">
                  <c:v>75000</c:v>
                </c:pt>
                <c:pt idx="13">
                  <c:v>75000</c:v>
                </c:pt>
                <c:pt idx="14">
                  <c:v>75000</c:v>
                </c:pt>
                <c:pt idx="15">
                  <c:v>75000</c:v>
                </c:pt>
                <c:pt idx="16">
                  <c:v>75000</c:v>
                </c:pt>
                <c:pt idx="17">
                  <c:v>75000</c:v>
                </c:pt>
                <c:pt idx="18">
                  <c:v>75000</c:v>
                </c:pt>
                <c:pt idx="19">
                  <c:v>75000</c:v>
                </c:pt>
                <c:pt idx="20">
                  <c:v>75000</c:v>
                </c:pt>
                <c:pt idx="21">
                  <c:v>75000</c:v>
                </c:pt>
                <c:pt idx="22">
                  <c:v>75000</c:v>
                </c:pt>
                <c:pt idx="23">
                  <c:v>75000</c:v>
                </c:pt>
                <c:pt idx="24">
                  <c:v>75000</c:v>
                </c:pt>
                <c:pt idx="25">
                  <c:v>75000</c:v>
                </c:pt>
                <c:pt idx="26">
                  <c:v>75000</c:v>
                </c:pt>
                <c:pt idx="27">
                  <c:v>75000</c:v>
                </c:pt>
                <c:pt idx="28">
                  <c:v>75000</c:v>
                </c:pt>
                <c:pt idx="29">
                  <c:v>75000</c:v>
                </c:pt>
                <c:pt idx="30">
                  <c:v>75000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F6-4E4E-BE6A-C80496A2B4B5}"/>
            </c:ext>
          </c:extLst>
        </c:ser>
        <c:ser>
          <c:idx val="5"/>
          <c:order val="5"/>
          <c:tx>
            <c:v>            </c:v>
          </c:tx>
          <c:spPr>
            <a:ln w="0" cap="rnd">
              <a:solidFill>
                <a:schemeClr val="bg1">
                  <a:lumMod val="95000"/>
                  <a:alpha val="48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'Resumen sep'!$I$62:$I$122</c:f>
              <c:numCache>
                <c:formatCode>_("$"* #,##0.00_);_("$"* \(#,##0.00\);_("$"* "-"??_);_(@_)</c:formatCode>
                <c:ptCount val="31"/>
                <c:pt idx="0">
                  <c:v>71250</c:v>
                </c:pt>
                <c:pt idx="1">
                  <c:v>71250</c:v>
                </c:pt>
                <c:pt idx="2">
                  <c:v>71250</c:v>
                </c:pt>
                <c:pt idx="3">
                  <c:v>71250</c:v>
                </c:pt>
                <c:pt idx="4">
                  <c:v>71250</c:v>
                </c:pt>
                <c:pt idx="5">
                  <c:v>71250</c:v>
                </c:pt>
                <c:pt idx="6">
                  <c:v>71250</c:v>
                </c:pt>
                <c:pt idx="7">
                  <c:v>71250</c:v>
                </c:pt>
                <c:pt idx="8">
                  <c:v>71250</c:v>
                </c:pt>
                <c:pt idx="9">
                  <c:v>71250</c:v>
                </c:pt>
                <c:pt idx="10">
                  <c:v>71250</c:v>
                </c:pt>
                <c:pt idx="11">
                  <c:v>71250</c:v>
                </c:pt>
                <c:pt idx="12">
                  <c:v>71250</c:v>
                </c:pt>
                <c:pt idx="13">
                  <c:v>71250</c:v>
                </c:pt>
                <c:pt idx="14">
                  <c:v>71250</c:v>
                </c:pt>
                <c:pt idx="15">
                  <c:v>71250</c:v>
                </c:pt>
                <c:pt idx="16">
                  <c:v>71250</c:v>
                </c:pt>
                <c:pt idx="17">
                  <c:v>71250</c:v>
                </c:pt>
                <c:pt idx="18">
                  <c:v>71250</c:v>
                </c:pt>
                <c:pt idx="19">
                  <c:v>71250</c:v>
                </c:pt>
                <c:pt idx="20">
                  <c:v>71250</c:v>
                </c:pt>
                <c:pt idx="21">
                  <c:v>71250</c:v>
                </c:pt>
                <c:pt idx="22">
                  <c:v>71250</c:v>
                </c:pt>
                <c:pt idx="23">
                  <c:v>71250</c:v>
                </c:pt>
                <c:pt idx="24">
                  <c:v>71250</c:v>
                </c:pt>
                <c:pt idx="25">
                  <c:v>71250</c:v>
                </c:pt>
                <c:pt idx="26">
                  <c:v>71250</c:v>
                </c:pt>
                <c:pt idx="27">
                  <c:v>71250</c:v>
                </c:pt>
                <c:pt idx="28">
                  <c:v>71250</c:v>
                </c:pt>
                <c:pt idx="29">
                  <c:v>71250</c:v>
                </c:pt>
                <c:pt idx="30">
                  <c:v>71250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F6-4E4E-BE6A-C80496A2B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9221280"/>
        <c:axId val="-219227808"/>
      </c:lineChart>
      <c:catAx>
        <c:axId val="-219221280"/>
        <c:scaling>
          <c:orientation val="minMax"/>
        </c:scaling>
        <c:delete val="0"/>
        <c:axPos val="b"/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219227808"/>
        <c:crosses val="autoZero"/>
        <c:auto val="1"/>
        <c:lblAlgn val="ctr"/>
        <c:lblOffset val="100"/>
        <c:noMultiLvlLbl val="0"/>
      </c:catAx>
      <c:valAx>
        <c:axId val="-219227808"/>
        <c:scaling>
          <c:orientation val="minMax"/>
          <c:max val="8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20000"/>
                </a:schemeClr>
              </a:solidFill>
              <a:prstDash val="sysDot"/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219221280"/>
        <c:crosses val="autoZero"/>
        <c:crossBetween val="between"/>
        <c:majorUnit val="5000"/>
        <c:minorUnit val="5000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Ventas diarias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Juan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'Resumen sep'!$D$126:$D$186</c:f>
              <c:numCache>
                <c:formatCode>_("$"* #,##0.00_);_("$"* \(#,##0.00\);_("$"* "-"??_);_(@_)</c:formatCode>
                <c:ptCount val="31"/>
                <c:pt idx="0">
                  <c:v>0</c:v>
                </c:pt>
                <c:pt idx="1">
                  <c:v>993.6</c:v>
                </c:pt>
                <c:pt idx="2">
                  <c:v>0.01</c:v>
                </c:pt>
                <c:pt idx="3">
                  <c:v>300</c:v>
                </c:pt>
                <c:pt idx="4">
                  <c:v>1938.79</c:v>
                </c:pt>
                <c:pt idx="5">
                  <c:v>0</c:v>
                </c:pt>
                <c:pt idx="6">
                  <c:v>688.79</c:v>
                </c:pt>
                <c:pt idx="7">
                  <c:v>386.2</c:v>
                </c:pt>
                <c:pt idx="8">
                  <c:v>5384.47</c:v>
                </c:pt>
                <c:pt idx="9">
                  <c:v>0.01</c:v>
                </c:pt>
                <c:pt idx="10">
                  <c:v>0</c:v>
                </c:pt>
                <c:pt idx="11">
                  <c:v>128.87</c:v>
                </c:pt>
                <c:pt idx="12">
                  <c:v>558.54</c:v>
                </c:pt>
                <c:pt idx="13">
                  <c:v>5961.75</c:v>
                </c:pt>
                <c:pt idx="14">
                  <c:v>2144.58</c:v>
                </c:pt>
                <c:pt idx="15">
                  <c:v>2163.2800000000002</c:v>
                </c:pt>
                <c:pt idx="16">
                  <c:v>0.01</c:v>
                </c:pt>
                <c:pt idx="17">
                  <c:v>0</c:v>
                </c:pt>
                <c:pt idx="18">
                  <c:v>0</c:v>
                </c:pt>
                <c:pt idx="19">
                  <c:v>1249.1300000000001</c:v>
                </c:pt>
                <c:pt idx="20">
                  <c:v>1249.1300000000001</c:v>
                </c:pt>
                <c:pt idx="21">
                  <c:v>643.95000000000005</c:v>
                </c:pt>
                <c:pt idx="22">
                  <c:v>0</c:v>
                </c:pt>
                <c:pt idx="23">
                  <c:v>0.01</c:v>
                </c:pt>
                <c:pt idx="24">
                  <c:v>0</c:v>
                </c:pt>
                <c:pt idx="25">
                  <c:v>863.88</c:v>
                </c:pt>
                <c:pt idx="26">
                  <c:v>2195.7399999999998</c:v>
                </c:pt>
                <c:pt idx="27">
                  <c:v>326.72000000000003</c:v>
                </c:pt>
                <c:pt idx="28">
                  <c:v>6028.26</c:v>
                </c:pt>
                <c:pt idx="29">
                  <c:v>256.89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83-40FE-B94B-38937F5C54F3}"/>
            </c:ext>
          </c:extLst>
        </c:ser>
        <c:ser>
          <c:idx val="1"/>
          <c:order val="1"/>
          <c:tx>
            <c:v>Carlos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'Resumen sep'!$E$126:$E$186</c:f>
              <c:numCache>
                <c:formatCode>_("$"* #,##0.00_);_("$"* \(#,##0.00\);_("$"* "-"??_);_(@_)</c:formatCode>
                <c:ptCount val="31"/>
                <c:pt idx="0">
                  <c:v>0</c:v>
                </c:pt>
                <c:pt idx="1">
                  <c:v>0.01</c:v>
                </c:pt>
                <c:pt idx="2">
                  <c:v>3478.5</c:v>
                </c:pt>
                <c:pt idx="3">
                  <c:v>0</c:v>
                </c:pt>
                <c:pt idx="4">
                  <c:v>2161.0100000000002</c:v>
                </c:pt>
                <c:pt idx="5">
                  <c:v>4824.2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</c:v>
                </c:pt>
                <c:pt idx="10">
                  <c:v>0</c:v>
                </c:pt>
                <c:pt idx="11">
                  <c:v>1185.3399999999999</c:v>
                </c:pt>
                <c:pt idx="12">
                  <c:v>4353.33</c:v>
                </c:pt>
                <c:pt idx="13">
                  <c:v>2142</c:v>
                </c:pt>
                <c:pt idx="14">
                  <c:v>3011.94</c:v>
                </c:pt>
                <c:pt idx="15">
                  <c:v>433.79</c:v>
                </c:pt>
                <c:pt idx="16">
                  <c:v>0.01</c:v>
                </c:pt>
                <c:pt idx="17">
                  <c:v>0</c:v>
                </c:pt>
                <c:pt idx="18">
                  <c:v>887.22</c:v>
                </c:pt>
                <c:pt idx="19">
                  <c:v>516.38</c:v>
                </c:pt>
                <c:pt idx="20">
                  <c:v>1421.55</c:v>
                </c:pt>
                <c:pt idx="21">
                  <c:v>859.2</c:v>
                </c:pt>
                <c:pt idx="22">
                  <c:v>0.01</c:v>
                </c:pt>
                <c:pt idx="23">
                  <c:v>3102.71</c:v>
                </c:pt>
                <c:pt idx="24">
                  <c:v>1378.45</c:v>
                </c:pt>
                <c:pt idx="25">
                  <c:v>0</c:v>
                </c:pt>
                <c:pt idx="26">
                  <c:v>4691.8500000000004</c:v>
                </c:pt>
                <c:pt idx="27">
                  <c:v>0</c:v>
                </c:pt>
                <c:pt idx="28">
                  <c:v>0.01</c:v>
                </c:pt>
                <c:pt idx="29">
                  <c:v>0.01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83-40FE-B94B-38937F5C5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9228896"/>
        <c:axId val="-219218016"/>
      </c:barChart>
      <c:lineChart>
        <c:grouping val="standard"/>
        <c:varyColors val="0"/>
        <c:ser>
          <c:idx val="2"/>
          <c:order val="2"/>
          <c:tx>
            <c:v>SM Universidad Mty.</c:v>
          </c:tx>
          <c:spPr>
            <a:ln w="2222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3"/>
            <c:spPr>
              <a:solidFill>
                <a:schemeClr val="bg1"/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'Resumen sep'!$F$126:$F$186</c:f>
              <c:numCache>
                <c:formatCode>_("$"* #,##0.00_);_("$"* \(#,##0.00\);_("$"* "-"??_);_(@_)</c:formatCode>
                <c:ptCount val="31"/>
                <c:pt idx="0">
                  <c:v>0</c:v>
                </c:pt>
                <c:pt idx="1">
                  <c:v>993.61</c:v>
                </c:pt>
                <c:pt idx="2">
                  <c:v>3478.51</c:v>
                </c:pt>
                <c:pt idx="3">
                  <c:v>300</c:v>
                </c:pt>
                <c:pt idx="4">
                  <c:v>4099.8</c:v>
                </c:pt>
                <c:pt idx="5">
                  <c:v>4824.2</c:v>
                </c:pt>
                <c:pt idx="6">
                  <c:v>688.79</c:v>
                </c:pt>
                <c:pt idx="7">
                  <c:v>386.2</c:v>
                </c:pt>
                <c:pt idx="8">
                  <c:v>5384.4800000000005</c:v>
                </c:pt>
                <c:pt idx="9">
                  <c:v>0.01</c:v>
                </c:pt>
                <c:pt idx="10">
                  <c:v>0</c:v>
                </c:pt>
                <c:pt idx="11">
                  <c:v>1314.21</c:v>
                </c:pt>
                <c:pt idx="12">
                  <c:v>4911.87</c:v>
                </c:pt>
                <c:pt idx="13">
                  <c:v>8103.75</c:v>
                </c:pt>
                <c:pt idx="14">
                  <c:v>5156.5200000000004</c:v>
                </c:pt>
                <c:pt idx="15">
                  <c:v>2597.0700000000002</c:v>
                </c:pt>
                <c:pt idx="16">
                  <c:v>0.02</c:v>
                </c:pt>
                <c:pt idx="17">
                  <c:v>0</c:v>
                </c:pt>
                <c:pt idx="18">
                  <c:v>887.22</c:v>
                </c:pt>
                <c:pt idx="19">
                  <c:v>1765.5100000000002</c:v>
                </c:pt>
                <c:pt idx="20">
                  <c:v>2670.6800000000003</c:v>
                </c:pt>
                <c:pt idx="21">
                  <c:v>1503.15</c:v>
                </c:pt>
                <c:pt idx="22">
                  <c:v>0.01</c:v>
                </c:pt>
                <c:pt idx="23">
                  <c:v>3102.7200000000003</c:v>
                </c:pt>
                <c:pt idx="24">
                  <c:v>1378.45</c:v>
                </c:pt>
                <c:pt idx="25">
                  <c:v>863.88</c:v>
                </c:pt>
                <c:pt idx="26">
                  <c:v>6887.59</c:v>
                </c:pt>
                <c:pt idx="27">
                  <c:v>326.72000000000003</c:v>
                </c:pt>
                <c:pt idx="28">
                  <c:v>6028.27</c:v>
                </c:pt>
                <c:pt idx="29">
                  <c:v>256.89999999999998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83-40FE-B94B-38937F5C5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9228896"/>
        <c:axId val="-219218016"/>
      </c:lineChart>
      <c:dateAx>
        <c:axId val="-21922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in"/>
        <c:minorTickMark val="cross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219218016"/>
        <c:crosses val="autoZero"/>
        <c:auto val="0"/>
        <c:lblOffset val="100"/>
        <c:baseTimeUnit val="days"/>
      </c:dateAx>
      <c:valAx>
        <c:axId val="-219218016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_(&quot;$&quot;* #,##0_);_(&quot;$&quot;* \(#,##0\);_(&quot;$&quot;* &quot;-&quot;_);_(@_)" sourceLinked="0"/>
        <c:majorTickMark val="none"/>
        <c:minorTickMark val="in"/>
        <c:tickLblPos val="nextTo"/>
        <c:spPr>
          <a:noFill/>
          <a:ln>
            <a:solidFill>
              <a:schemeClr val="tx1">
                <a:lumMod val="85000"/>
                <a:lumOff val="1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219228896"/>
        <c:crosses val="autoZero"/>
        <c:crossBetween val="between"/>
        <c:majorUnit val="1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span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agosto de 2019</a:t>
            </a:r>
          </a:p>
        </c:rich>
      </c:tx>
      <c:layout>
        <c:manualLayout>
          <c:xMode val="edge"/>
          <c:yMode val="edge"/>
          <c:x val="0.42594021556906697"/>
          <c:y val="2.70480580792875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JUAN</c:v>
          </c:tx>
          <c:spPr>
            <a:ln w="25400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5"/>
            <c:spPr>
              <a:solidFill>
                <a:schemeClr val="bg1"/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'Resumen ago'!$D$62:$D$122</c:f>
              <c:numCache>
                <c:formatCode>_("$"* #,##0.00_);_("$"* \(#,##0.00\);_("$"* "-"??_);_(@_)</c:formatCode>
                <c:ptCount val="31"/>
                <c:pt idx="0">
                  <c:v>386.2</c:v>
                </c:pt>
                <c:pt idx="1">
                  <c:v>2620.23</c:v>
                </c:pt>
                <c:pt idx="2">
                  <c:v>2620.23</c:v>
                </c:pt>
                <c:pt idx="3">
                  <c:v>2920.23</c:v>
                </c:pt>
                <c:pt idx="4">
                  <c:v>2920.23</c:v>
                </c:pt>
                <c:pt idx="5">
                  <c:v>2920.2400000000002</c:v>
                </c:pt>
                <c:pt idx="6">
                  <c:v>2920.2400000000002</c:v>
                </c:pt>
                <c:pt idx="7">
                  <c:v>2920.2400000000002</c:v>
                </c:pt>
                <c:pt idx="8">
                  <c:v>2920.2400000000002</c:v>
                </c:pt>
                <c:pt idx="9">
                  <c:v>2920.2400000000002</c:v>
                </c:pt>
                <c:pt idx="10">
                  <c:v>4471.1000000000004</c:v>
                </c:pt>
                <c:pt idx="11">
                  <c:v>4471.1000000000004</c:v>
                </c:pt>
                <c:pt idx="12">
                  <c:v>4471.1100000000006</c:v>
                </c:pt>
                <c:pt idx="13">
                  <c:v>4471.1100000000006</c:v>
                </c:pt>
                <c:pt idx="14">
                  <c:v>4814.2100000000009</c:v>
                </c:pt>
                <c:pt idx="15">
                  <c:v>8303.4900000000016</c:v>
                </c:pt>
                <c:pt idx="16">
                  <c:v>10967.260000000002</c:v>
                </c:pt>
                <c:pt idx="17">
                  <c:v>14898.720000000001</c:v>
                </c:pt>
                <c:pt idx="18">
                  <c:v>15459.94</c:v>
                </c:pt>
                <c:pt idx="19">
                  <c:v>15459.94</c:v>
                </c:pt>
                <c:pt idx="20">
                  <c:v>15459.94</c:v>
                </c:pt>
                <c:pt idx="21">
                  <c:v>15459.94</c:v>
                </c:pt>
                <c:pt idx="22">
                  <c:v>15631.15</c:v>
                </c:pt>
                <c:pt idx="23">
                  <c:v>22782.82</c:v>
                </c:pt>
                <c:pt idx="24">
                  <c:v>24937.13</c:v>
                </c:pt>
                <c:pt idx="25">
                  <c:v>25882.81</c:v>
                </c:pt>
                <c:pt idx="26">
                  <c:v>25882.82</c:v>
                </c:pt>
                <c:pt idx="27">
                  <c:v>25882.82</c:v>
                </c:pt>
                <c:pt idx="28">
                  <c:v>25882.82</c:v>
                </c:pt>
                <c:pt idx="29">
                  <c:v>25882.82</c:v>
                </c:pt>
                <c:pt idx="30">
                  <c:v>28079.37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5-45A6-8421-5B72AC25FC79}"/>
            </c:ext>
          </c:extLst>
        </c:ser>
        <c:ser>
          <c:idx val="1"/>
          <c:order val="1"/>
          <c:tx>
            <c:v>CARLOS</c:v>
          </c:tx>
          <c:spPr>
            <a:ln w="25400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5"/>
            <c:spPr>
              <a:solidFill>
                <a:schemeClr val="bg1"/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'Resumen ago'!$E$62:$E$122</c:f>
              <c:numCache>
                <c:formatCode>_("$"* #,##0.00_);_("$"* \(#,##0.00\);_("$"* "-"??_);_(@_)</c:formatCode>
                <c:ptCount val="31"/>
                <c:pt idx="0">
                  <c:v>1175.3599999999999</c:v>
                </c:pt>
                <c:pt idx="1">
                  <c:v>4536.5599999999995</c:v>
                </c:pt>
                <c:pt idx="2">
                  <c:v>7035</c:v>
                </c:pt>
                <c:pt idx="3">
                  <c:v>13515.65</c:v>
                </c:pt>
                <c:pt idx="4">
                  <c:v>13515.66</c:v>
                </c:pt>
                <c:pt idx="5">
                  <c:v>13515.66</c:v>
                </c:pt>
                <c:pt idx="6">
                  <c:v>13515.66</c:v>
                </c:pt>
                <c:pt idx="7">
                  <c:v>13515.66</c:v>
                </c:pt>
                <c:pt idx="8">
                  <c:v>13515.66</c:v>
                </c:pt>
                <c:pt idx="9">
                  <c:v>13515.66</c:v>
                </c:pt>
                <c:pt idx="10">
                  <c:v>15497.55</c:v>
                </c:pt>
                <c:pt idx="11">
                  <c:v>15497.56</c:v>
                </c:pt>
                <c:pt idx="12">
                  <c:v>15497.56</c:v>
                </c:pt>
                <c:pt idx="13">
                  <c:v>19578.48</c:v>
                </c:pt>
                <c:pt idx="14">
                  <c:v>25284.27</c:v>
                </c:pt>
                <c:pt idx="15">
                  <c:v>27804.080000000002</c:v>
                </c:pt>
                <c:pt idx="16">
                  <c:v>30096.82</c:v>
                </c:pt>
                <c:pt idx="17">
                  <c:v>30439.919999999998</c:v>
                </c:pt>
                <c:pt idx="18">
                  <c:v>30439.929999999997</c:v>
                </c:pt>
                <c:pt idx="19">
                  <c:v>31126.989999999998</c:v>
                </c:pt>
                <c:pt idx="20">
                  <c:v>32074.399999999998</c:v>
                </c:pt>
                <c:pt idx="21">
                  <c:v>32074.399999999998</c:v>
                </c:pt>
                <c:pt idx="22">
                  <c:v>34053.71</c:v>
                </c:pt>
                <c:pt idx="23">
                  <c:v>34397.879999999997</c:v>
                </c:pt>
                <c:pt idx="24">
                  <c:v>34397.879999999997</c:v>
                </c:pt>
                <c:pt idx="25">
                  <c:v>34397.89</c:v>
                </c:pt>
                <c:pt idx="26">
                  <c:v>37022.47</c:v>
                </c:pt>
                <c:pt idx="27">
                  <c:v>40863.83</c:v>
                </c:pt>
                <c:pt idx="28">
                  <c:v>41163.83</c:v>
                </c:pt>
                <c:pt idx="29">
                  <c:v>45904.350000000006</c:v>
                </c:pt>
                <c:pt idx="30">
                  <c:v>47729.350000000006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5-45A6-8421-5B72AC25FC79}"/>
            </c:ext>
          </c:extLst>
        </c:ser>
        <c:ser>
          <c:idx val="2"/>
          <c:order val="2"/>
          <c:tx>
            <c:v>SM Universidad Mty.</c:v>
          </c:tx>
          <c:spPr>
            <a:ln w="25400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5"/>
            <c:spPr>
              <a:solidFill>
                <a:schemeClr val="bg1"/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'Resumen ago'!$F$62:$F$122</c:f>
              <c:numCache>
                <c:formatCode>_("$"* #,##0.00_);_("$"* \(#,##0.00\);_("$"* "-"??_);_(@_)</c:formatCode>
                <c:ptCount val="31"/>
                <c:pt idx="0">
                  <c:v>1561.56</c:v>
                </c:pt>
                <c:pt idx="1">
                  <c:v>7156.7899999999991</c:v>
                </c:pt>
                <c:pt idx="2">
                  <c:v>9655.23</c:v>
                </c:pt>
                <c:pt idx="3">
                  <c:v>16435.88</c:v>
                </c:pt>
                <c:pt idx="4">
                  <c:v>16435.89</c:v>
                </c:pt>
                <c:pt idx="5">
                  <c:v>16435.900000000001</c:v>
                </c:pt>
                <c:pt idx="6">
                  <c:v>16435.900000000001</c:v>
                </c:pt>
                <c:pt idx="7">
                  <c:v>16435.900000000001</c:v>
                </c:pt>
                <c:pt idx="8">
                  <c:v>16435.900000000001</c:v>
                </c:pt>
                <c:pt idx="9">
                  <c:v>16435.900000000001</c:v>
                </c:pt>
                <c:pt idx="10">
                  <c:v>19968.650000000001</c:v>
                </c:pt>
                <c:pt idx="11">
                  <c:v>19968.66</c:v>
                </c:pt>
                <c:pt idx="12">
                  <c:v>19968.669999999998</c:v>
                </c:pt>
                <c:pt idx="13">
                  <c:v>24049.59</c:v>
                </c:pt>
                <c:pt idx="14">
                  <c:v>30098.480000000003</c:v>
                </c:pt>
                <c:pt idx="15">
                  <c:v>36107.570000000007</c:v>
                </c:pt>
                <c:pt idx="16">
                  <c:v>41064.080000000002</c:v>
                </c:pt>
                <c:pt idx="17">
                  <c:v>45338.64</c:v>
                </c:pt>
                <c:pt idx="18">
                  <c:v>45899.869999999995</c:v>
                </c:pt>
                <c:pt idx="19">
                  <c:v>46586.93</c:v>
                </c:pt>
                <c:pt idx="20">
                  <c:v>47534.34</c:v>
                </c:pt>
                <c:pt idx="21">
                  <c:v>47534.34</c:v>
                </c:pt>
                <c:pt idx="22">
                  <c:v>49684.86</c:v>
                </c:pt>
                <c:pt idx="23">
                  <c:v>57180.7</c:v>
                </c:pt>
                <c:pt idx="24">
                  <c:v>59335.009999999995</c:v>
                </c:pt>
                <c:pt idx="25">
                  <c:v>60280.7</c:v>
                </c:pt>
                <c:pt idx="26">
                  <c:v>62905.29</c:v>
                </c:pt>
                <c:pt idx="27">
                  <c:v>66746.649999999994</c:v>
                </c:pt>
                <c:pt idx="28">
                  <c:v>67046.649999999994</c:v>
                </c:pt>
                <c:pt idx="29">
                  <c:v>71787.170000000013</c:v>
                </c:pt>
                <c:pt idx="30">
                  <c:v>75808.72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5-45A6-8421-5B72AC25FC79}"/>
            </c:ext>
          </c:extLst>
        </c:ser>
        <c:ser>
          <c:idx val="3"/>
          <c:order val="3"/>
          <c:tx>
            <c:v>   </c:v>
          </c:tx>
          <c:spPr>
            <a:ln w="12700" cap="rnd">
              <a:solidFill>
                <a:schemeClr val="bg1">
                  <a:lumMod val="95000"/>
                  <a:alpha val="4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'Resumen ago'!$G$62:$G$122</c:f>
              <c:numCache>
                <c:formatCode>_("$"* #,##0.00_);_("$"* \(#,##0.00\);_("$"* "-"??_);_(@_)</c:formatCode>
                <c:ptCount val="31"/>
                <c:pt idx="0">
                  <c:v>22500</c:v>
                </c:pt>
                <c:pt idx="1">
                  <c:v>22500</c:v>
                </c:pt>
                <c:pt idx="2">
                  <c:v>22500</c:v>
                </c:pt>
                <c:pt idx="3">
                  <c:v>22500</c:v>
                </c:pt>
                <c:pt idx="4">
                  <c:v>22500</c:v>
                </c:pt>
                <c:pt idx="5">
                  <c:v>22500</c:v>
                </c:pt>
                <c:pt idx="6">
                  <c:v>22500</c:v>
                </c:pt>
                <c:pt idx="7">
                  <c:v>22500</c:v>
                </c:pt>
                <c:pt idx="8">
                  <c:v>22500</c:v>
                </c:pt>
                <c:pt idx="9">
                  <c:v>22500</c:v>
                </c:pt>
                <c:pt idx="10">
                  <c:v>22500</c:v>
                </c:pt>
                <c:pt idx="11">
                  <c:v>22500</c:v>
                </c:pt>
                <c:pt idx="12">
                  <c:v>22500</c:v>
                </c:pt>
                <c:pt idx="13">
                  <c:v>22500</c:v>
                </c:pt>
                <c:pt idx="14">
                  <c:v>22500</c:v>
                </c:pt>
                <c:pt idx="15">
                  <c:v>22500</c:v>
                </c:pt>
                <c:pt idx="16">
                  <c:v>22500</c:v>
                </c:pt>
                <c:pt idx="17">
                  <c:v>22500</c:v>
                </c:pt>
                <c:pt idx="18">
                  <c:v>22500</c:v>
                </c:pt>
                <c:pt idx="19">
                  <c:v>22500</c:v>
                </c:pt>
                <c:pt idx="20">
                  <c:v>22500</c:v>
                </c:pt>
                <c:pt idx="21">
                  <c:v>22500</c:v>
                </c:pt>
                <c:pt idx="22">
                  <c:v>22500</c:v>
                </c:pt>
                <c:pt idx="23">
                  <c:v>22500</c:v>
                </c:pt>
                <c:pt idx="24">
                  <c:v>22500</c:v>
                </c:pt>
                <c:pt idx="25">
                  <c:v>22500</c:v>
                </c:pt>
                <c:pt idx="26">
                  <c:v>22500</c:v>
                </c:pt>
                <c:pt idx="27">
                  <c:v>22500</c:v>
                </c:pt>
                <c:pt idx="28">
                  <c:v>22500</c:v>
                </c:pt>
                <c:pt idx="29">
                  <c:v>22500</c:v>
                </c:pt>
                <c:pt idx="30">
                  <c:v>22500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85-45A6-8421-5B72AC25FC79}"/>
            </c:ext>
          </c:extLst>
        </c:ser>
        <c:ser>
          <c:idx val="4"/>
          <c:order val="4"/>
          <c:tx>
            <c:v>   </c:v>
          </c:tx>
          <c:spPr>
            <a:ln w="3175" cap="rnd">
              <a:solidFill>
                <a:schemeClr val="bg1">
                  <a:lumMod val="85000"/>
                  <a:alpha val="48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'Resumen ago'!$H$62:$H$122</c:f>
              <c:numCache>
                <c:formatCode>_("$"* #,##0.00_);_("$"* \(#,##0.00\);_("$"* "-"??_);_(@_)</c:formatCode>
                <c:ptCount val="31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45000</c:v>
                </c:pt>
                <c:pt idx="15">
                  <c:v>45000</c:v>
                </c:pt>
                <c:pt idx="16">
                  <c:v>45000</c:v>
                </c:pt>
                <c:pt idx="17">
                  <c:v>45000</c:v>
                </c:pt>
                <c:pt idx="18">
                  <c:v>45000</c:v>
                </c:pt>
                <c:pt idx="19">
                  <c:v>45000</c:v>
                </c:pt>
                <c:pt idx="20">
                  <c:v>45000</c:v>
                </c:pt>
                <c:pt idx="21">
                  <c:v>45000</c:v>
                </c:pt>
                <c:pt idx="22">
                  <c:v>45000</c:v>
                </c:pt>
                <c:pt idx="23">
                  <c:v>45000</c:v>
                </c:pt>
                <c:pt idx="24">
                  <c:v>45000</c:v>
                </c:pt>
                <c:pt idx="25">
                  <c:v>45000</c:v>
                </c:pt>
                <c:pt idx="26">
                  <c:v>45000</c:v>
                </c:pt>
                <c:pt idx="27">
                  <c:v>45000</c:v>
                </c:pt>
                <c:pt idx="28">
                  <c:v>45000</c:v>
                </c:pt>
                <c:pt idx="29">
                  <c:v>45000</c:v>
                </c:pt>
                <c:pt idx="30">
                  <c:v>45000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85-45A6-8421-5B72AC25FC79}"/>
            </c:ext>
          </c:extLst>
        </c:ser>
        <c:ser>
          <c:idx val="5"/>
          <c:order val="5"/>
          <c:tx>
            <c:v>            </c:v>
          </c:tx>
          <c:spPr>
            <a:ln w="0" cap="rnd">
              <a:solidFill>
                <a:schemeClr val="bg1">
                  <a:lumMod val="95000"/>
                  <a:alpha val="48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'Resumen ago'!$I$62:$I$122</c:f>
              <c:numCache>
                <c:formatCode>_("$"* #,##0.00_);_("$"* \(#,##0.00\);_("$"* "-"??_);_(@_)</c:formatCode>
                <c:ptCount val="31"/>
                <c:pt idx="0">
                  <c:v>47250</c:v>
                </c:pt>
                <c:pt idx="1">
                  <c:v>47250</c:v>
                </c:pt>
                <c:pt idx="2">
                  <c:v>47250</c:v>
                </c:pt>
                <c:pt idx="3">
                  <c:v>47250</c:v>
                </c:pt>
                <c:pt idx="4">
                  <c:v>47250</c:v>
                </c:pt>
                <c:pt idx="5">
                  <c:v>47250</c:v>
                </c:pt>
                <c:pt idx="6">
                  <c:v>47250</c:v>
                </c:pt>
                <c:pt idx="7">
                  <c:v>47250</c:v>
                </c:pt>
                <c:pt idx="8">
                  <c:v>47250</c:v>
                </c:pt>
                <c:pt idx="9">
                  <c:v>47250</c:v>
                </c:pt>
                <c:pt idx="10">
                  <c:v>47250</c:v>
                </c:pt>
                <c:pt idx="11">
                  <c:v>47250</c:v>
                </c:pt>
                <c:pt idx="12">
                  <c:v>47250</c:v>
                </c:pt>
                <c:pt idx="13">
                  <c:v>47250</c:v>
                </c:pt>
                <c:pt idx="14">
                  <c:v>47250</c:v>
                </c:pt>
                <c:pt idx="15">
                  <c:v>47250</c:v>
                </c:pt>
                <c:pt idx="16">
                  <c:v>47250</c:v>
                </c:pt>
                <c:pt idx="17">
                  <c:v>47250</c:v>
                </c:pt>
                <c:pt idx="18">
                  <c:v>47250</c:v>
                </c:pt>
                <c:pt idx="19">
                  <c:v>47250</c:v>
                </c:pt>
                <c:pt idx="20">
                  <c:v>47250</c:v>
                </c:pt>
                <c:pt idx="21">
                  <c:v>47250</c:v>
                </c:pt>
                <c:pt idx="22">
                  <c:v>47250</c:v>
                </c:pt>
                <c:pt idx="23">
                  <c:v>47250</c:v>
                </c:pt>
                <c:pt idx="24">
                  <c:v>47250</c:v>
                </c:pt>
                <c:pt idx="25">
                  <c:v>47250</c:v>
                </c:pt>
                <c:pt idx="26">
                  <c:v>47250</c:v>
                </c:pt>
                <c:pt idx="27">
                  <c:v>47250</c:v>
                </c:pt>
                <c:pt idx="28">
                  <c:v>47250</c:v>
                </c:pt>
                <c:pt idx="29">
                  <c:v>47250</c:v>
                </c:pt>
                <c:pt idx="30">
                  <c:v>47250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85-45A6-8421-5B72AC25F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9221280"/>
        <c:axId val="-219227808"/>
      </c:lineChart>
      <c:catAx>
        <c:axId val="-219221280"/>
        <c:scaling>
          <c:orientation val="minMax"/>
        </c:scaling>
        <c:delete val="0"/>
        <c:axPos val="b"/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219227808"/>
        <c:crosses val="autoZero"/>
        <c:auto val="1"/>
        <c:lblAlgn val="ctr"/>
        <c:lblOffset val="100"/>
        <c:noMultiLvlLbl val="0"/>
      </c:catAx>
      <c:valAx>
        <c:axId val="-219227808"/>
        <c:scaling>
          <c:orientation val="minMax"/>
          <c:max val="8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20000"/>
                </a:schemeClr>
              </a:solidFill>
              <a:prstDash val="sysDot"/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219221280"/>
        <c:crosses val="autoZero"/>
        <c:crossBetween val="between"/>
        <c:majorUnit val="5000"/>
        <c:minorUnit val="5000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Ventas diarias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Juan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'Resumen ago'!$D$126:$D$186</c:f>
              <c:numCache>
                <c:formatCode>_("$"* #,##0.00_);_("$"* \(#,##0.00\);_("$"* "-"??_);_(@_)</c:formatCode>
                <c:ptCount val="31"/>
                <c:pt idx="0">
                  <c:v>386.2</c:v>
                </c:pt>
                <c:pt idx="1">
                  <c:v>2234.0300000000002</c:v>
                </c:pt>
                <c:pt idx="2">
                  <c:v>0</c:v>
                </c:pt>
                <c:pt idx="3">
                  <c:v>300</c:v>
                </c:pt>
                <c:pt idx="4">
                  <c:v>0</c:v>
                </c:pt>
                <c:pt idx="5">
                  <c:v>0.01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1550.86</c:v>
                </c:pt>
                <c:pt idx="11">
                  <c:v>0</c:v>
                </c:pt>
                <c:pt idx="12">
                  <c:v>0.01</c:v>
                </c:pt>
                <c:pt idx="13">
                  <c:v>0</c:v>
                </c:pt>
                <c:pt idx="14">
                  <c:v>343.1</c:v>
                </c:pt>
                <c:pt idx="15">
                  <c:v>3489.28</c:v>
                </c:pt>
                <c:pt idx="16">
                  <c:v>2663.77</c:v>
                </c:pt>
                <c:pt idx="17">
                  <c:v>3931.46</c:v>
                </c:pt>
                <c:pt idx="18">
                  <c:v>561.22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171.21</c:v>
                </c:pt>
                <c:pt idx="23">
                  <c:v>7151.67</c:v>
                </c:pt>
                <c:pt idx="24">
                  <c:v>2154.31</c:v>
                </c:pt>
                <c:pt idx="25">
                  <c:v>945.68</c:v>
                </c:pt>
                <c:pt idx="26">
                  <c:v>0.01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2196.5500000000002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3A-49F0-B02E-2454A54F6975}"/>
            </c:ext>
          </c:extLst>
        </c:ser>
        <c:ser>
          <c:idx val="1"/>
          <c:order val="1"/>
          <c:tx>
            <c:v>Carlos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'Resumen ago'!$E$126:$E$186</c:f>
              <c:numCache>
                <c:formatCode>_("$"* #,##0.00_);_("$"* \(#,##0.00\);_("$"* "-"??_);_(@_)</c:formatCode>
                <c:ptCount val="31"/>
                <c:pt idx="0">
                  <c:v>1175.3599999999999</c:v>
                </c:pt>
                <c:pt idx="1">
                  <c:v>3361.2</c:v>
                </c:pt>
                <c:pt idx="2">
                  <c:v>2498.44</c:v>
                </c:pt>
                <c:pt idx="3">
                  <c:v>6480.65</c:v>
                </c:pt>
                <c:pt idx="4">
                  <c:v>0.01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1981.89</c:v>
                </c:pt>
                <c:pt idx="11">
                  <c:v>0.01</c:v>
                </c:pt>
                <c:pt idx="12">
                  <c:v>0</c:v>
                </c:pt>
                <c:pt idx="13">
                  <c:v>4080.92</c:v>
                </c:pt>
                <c:pt idx="14">
                  <c:v>5705.79</c:v>
                </c:pt>
                <c:pt idx="15">
                  <c:v>2519.81</c:v>
                </c:pt>
                <c:pt idx="16">
                  <c:v>2292.7399999999998</c:v>
                </c:pt>
                <c:pt idx="17">
                  <c:v>343.1</c:v>
                </c:pt>
                <c:pt idx="18">
                  <c:v>0.01</c:v>
                </c:pt>
                <c:pt idx="19">
                  <c:v>687.06</c:v>
                </c:pt>
                <c:pt idx="20">
                  <c:v>947.41</c:v>
                </c:pt>
                <c:pt idx="21">
                  <c:v>0</c:v>
                </c:pt>
                <c:pt idx="22">
                  <c:v>1979.31</c:v>
                </c:pt>
                <c:pt idx="23">
                  <c:v>344.17</c:v>
                </c:pt>
                <c:pt idx="24">
                  <c:v>0</c:v>
                </c:pt>
                <c:pt idx="25">
                  <c:v>0.01</c:v>
                </c:pt>
                <c:pt idx="26">
                  <c:v>2624.58</c:v>
                </c:pt>
                <c:pt idx="27">
                  <c:v>3841.36</c:v>
                </c:pt>
                <c:pt idx="28">
                  <c:v>300</c:v>
                </c:pt>
                <c:pt idx="29">
                  <c:v>4740.5200000000004</c:v>
                </c:pt>
                <c:pt idx="30">
                  <c:v>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3A-49F0-B02E-2454A54F6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9228896"/>
        <c:axId val="-219218016"/>
      </c:barChart>
      <c:lineChart>
        <c:grouping val="standard"/>
        <c:varyColors val="0"/>
        <c:ser>
          <c:idx val="2"/>
          <c:order val="2"/>
          <c:tx>
            <c:v>SM Universidad Mty.</c:v>
          </c:tx>
          <c:spPr>
            <a:ln w="2222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3"/>
            <c:spPr>
              <a:solidFill>
                <a:schemeClr val="bg1"/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'Resumen ago'!$F$126:$F$186</c:f>
              <c:numCache>
                <c:formatCode>_("$"* #,##0.00_);_("$"* \(#,##0.00\);_("$"* "-"??_);_(@_)</c:formatCode>
                <c:ptCount val="31"/>
                <c:pt idx="0">
                  <c:v>1561.56</c:v>
                </c:pt>
                <c:pt idx="1">
                  <c:v>5595.23</c:v>
                </c:pt>
                <c:pt idx="2">
                  <c:v>2498.44</c:v>
                </c:pt>
                <c:pt idx="3">
                  <c:v>6780.65</c:v>
                </c:pt>
                <c:pt idx="4">
                  <c:v>0.01</c:v>
                </c:pt>
                <c:pt idx="5">
                  <c:v>0.01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3532.75</c:v>
                </c:pt>
                <c:pt idx="11">
                  <c:v>0.01</c:v>
                </c:pt>
                <c:pt idx="12">
                  <c:v>0.01</c:v>
                </c:pt>
                <c:pt idx="13">
                  <c:v>4080.92</c:v>
                </c:pt>
                <c:pt idx="14">
                  <c:v>6048.89</c:v>
                </c:pt>
                <c:pt idx="15">
                  <c:v>6009.09</c:v>
                </c:pt>
                <c:pt idx="16">
                  <c:v>4956.51</c:v>
                </c:pt>
                <c:pt idx="17">
                  <c:v>4274.5600000000004</c:v>
                </c:pt>
                <c:pt idx="18">
                  <c:v>561.23</c:v>
                </c:pt>
                <c:pt idx="19">
                  <c:v>687.06</c:v>
                </c:pt>
                <c:pt idx="20">
                  <c:v>947.41</c:v>
                </c:pt>
                <c:pt idx="21">
                  <c:v>0</c:v>
                </c:pt>
                <c:pt idx="22">
                  <c:v>2150.52</c:v>
                </c:pt>
                <c:pt idx="23">
                  <c:v>7495.84</c:v>
                </c:pt>
                <c:pt idx="24">
                  <c:v>2154.31</c:v>
                </c:pt>
                <c:pt idx="25">
                  <c:v>945.68999999999994</c:v>
                </c:pt>
                <c:pt idx="26">
                  <c:v>2624.59</c:v>
                </c:pt>
                <c:pt idx="27">
                  <c:v>3841.36</c:v>
                </c:pt>
                <c:pt idx="28">
                  <c:v>300</c:v>
                </c:pt>
                <c:pt idx="29">
                  <c:v>4740.5200000000004</c:v>
                </c:pt>
                <c:pt idx="30">
                  <c:v>4021.55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3A-49F0-B02E-2454A54F6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9228896"/>
        <c:axId val="-219218016"/>
      </c:lineChart>
      <c:dateAx>
        <c:axId val="-21922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in"/>
        <c:minorTickMark val="cross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219218016"/>
        <c:crosses val="autoZero"/>
        <c:auto val="0"/>
        <c:lblOffset val="100"/>
        <c:baseTimeUnit val="days"/>
      </c:dateAx>
      <c:valAx>
        <c:axId val="-219218016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_(&quot;$&quot;* #,##0_);_(&quot;$&quot;* \(#,##0\);_(&quot;$&quot;* &quot;-&quot;_);_(@_)" sourceLinked="0"/>
        <c:majorTickMark val="none"/>
        <c:minorTickMark val="in"/>
        <c:tickLblPos val="nextTo"/>
        <c:spPr>
          <a:noFill/>
          <a:ln>
            <a:solidFill>
              <a:schemeClr val="tx1">
                <a:lumMod val="85000"/>
                <a:lumOff val="1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219228896"/>
        <c:crosses val="autoZero"/>
        <c:crossBetween val="between"/>
        <c:majorUnit val="1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span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0</xdr:row>
      <xdr:rowOff>0</xdr:rowOff>
    </xdr:from>
    <xdr:to>
      <xdr:col>16</xdr:col>
      <xdr:colOff>9525</xdr:colOff>
      <xdr:row>28</xdr:row>
      <xdr:rowOff>85726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209549</xdr:colOff>
      <xdr:row>28</xdr:row>
      <xdr:rowOff>119062</xdr:rowOff>
    </xdr:from>
    <xdr:to>
      <xdr:col>18</xdr:col>
      <xdr:colOff>76199</xdr:colOff>
      <xdr:row>56</xdr:row>
      <xdr:rowOff>257175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14285</xdr:rowOff>
    </xdr:from>
    <xdr:to>
      <xdr:col>16</xdr:col>
      <xdr:colOff>9525</xdr:colOff>
      <xdr:row>28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ABAF302-F9EE-46E2-A2BC-1FC5354C36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209549</xdr:colOff>
      <xdr:row>28</xdr:row>
      <xdr:rowOff>119062</xdr:rowOff>
    </xdr:from>
    <xdr:to>
      <xdr:col>18</xdr:col>
      <xdr:colOff>76199</xdr:colOff>
      <xdr:row>56</xdr:row>
      <xdr:rowOff>257175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08CE9DF-AEC4-4D1F-85E9-35C0B1A34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14285</xdr:rowOff>
    </xdr:from>
    <xdr:to>
      <xdr:col>16</xdr:col>
      <xdr:colOff>9525</xdr:colOff>
      <xdr:row>28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1F0CE6-C14A-4415-AD57-339C07F701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209549</xdr:colOff>
      <xdr:row>28</xdr:row>
      <xdr:rowOff>119062</xdr:rowOff>
    </xdr:from>
    <xdr:to>
      <xdr:col>18</xdr:col>
      <xdr:colOff>76199</xdr:colOff>
      <xdr:row>56</xdr:row>
      <xdr:rowOff>257175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711FA65-9050-48F9-87DD-DE5432AD7B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C60:I122" totalsRowShown="0">
  <autoFilter ref="C60:I122" xr:uid="{00000000-0009-0000-0100-000001000000}">
    <filterColumn colId="0">
      <customFilters>
        <customFilter operator="notEqual" val=" "/>
      </customFilters>
    </filterColumn>
  </autoFilter>
  <sortState xmlns:xlrd2="http://schemas.microsoft.com/office/spreadsheetml/2017/richdata2" ref="C74:J134">
    <sortCondition ref="I72:I134"/>
  </sortState>
  <tableColumns count="7">
    <tableColumn id="1" xr3:uid="{00000000-0010-0000-0000-000001000000}" name="Día"/>
    <tableColumn id="2" xr3:uid="{00000000-0010-0000-0000-000002000000}" name="Juan" dataDxfId="97" dataCellStyle="Moneda"/>
    <tableColumn id="3" xr3:uid="{00000000-0010-0000-0000-000003000000}" name="Columna1" dataDxfId="96" dataCellStyle="Moneda"/>
    <tableColumn id="4" xr3:uid="{00000000-0010-0000-0000-000004000000}" name="SM Universidad Mty." dataDxfId="95" dataCellStyle="Moneda">
      <calculatedColumnFormula>SUM(Tabla1[[#This Row],[Juan]]+Tabla1[[#This Row],[Columna1]])</calculatedColumnFormula>
    </tableColumn>
    <tableColumn id="5" xr3:uid="{00000000-0010-0000-0000-000005000000}" name="Meta ind" dataDxfId="94"/>
    <tableColumn id="6" xr3:uid="{00000000-0010-0000-0000-000006000000}" name="Meta isla" dataDxfId="93"/>
    <tableColumn id="9" xr3:uid="{00000000-0010-0000-0000-000009000000}" name="Meta 105%" dataDxfId="92" dataCellStyle="Moneda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la6" displayName="Tabla6" ref="C125:F187" totalsRowShown="0">
  <autoFilter ref="C125:F187" xr:uid="{00000000-0009-0000-0100-000006000000}">
    <filterColumn colId="0">
      <filters blank="1"/>
    </filterColumn>
  </autoFilter>
  <tableColumns count="4">
    <tableColumn id="1" xr3:uid="{00000000-0010-0000-0100-000001000000}" name="Día" dataDxfId="91"/>
    <tableColumn id="2" xr3:uid="{00000000-0010-0000-0100-000002000000}" name="Juan " dataDxfId="90">
      <calculatedColumnFormula>D61</calculatedColumnFormula>
    </tableColumn>
    <tableColumn id="3" xr3:uid="{00000000-0010-0000-0100-000003000000}" name="Carlos" dataDxfId="89">
      <calculatedColumnFormula>E61</calculatedColumnFormula>
    </tableColumn>
    <tableColumn id="4" xr3:uid="{00000000-0010-0000-0100-000004000000}" name="SM Universidad Mty." dataDxfId="88">
      <calculatedColumnFormula>F61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24A54D-C8A7-42FA-811D-A24BAB4ABFCC}" name="Tabla13" displayName="Tabla13" ref="C60:I122" totalsRowShown="0">
  <autoFilter ref="C60:I122" xr:uid="{00000000-0009-0000-0100-000001000000}">
    <filterColumn colId="0">
      <customFilters>
        <customFilter operator="notEqual" val=" "/>
      </customFilters>
    </filterColumn>
  </autoFilter>
  <sortState xmlns:xlrd2="http://schemas.microsoft.com/office/spreadsheetml/2017/richdata2" ref="C74:J134">
    <sortCondition ref="I72:I134"/>
  </sortState>
  <tableColumns count="7">
    <tableColumn id="1" xr3:uid="{00000000-0010-0000-0000-000001000000}" name="Día"/>
    <tableColumn id="2" xr3:uid="{00000000-0010-0000-0000-000002000000}" name="Jorge" dataDxfId="53" dataCellStyle="Moneda"/>
    <tableColumn id="3" xr3:uid="{00000000-0010-0000-0000-000003000000}" name="Columna1" dataDxfId="52" dataCellStyle="Moneda"/>
    <tableColumn id="4" xr3:uid="{00000000-0010-0000-0000-000004000000}" name="SM Universidad Mty." dataDxfId="51" dataCellStyle="Moneda">
      <calculatedColumnFormula>SUM(Tabla13[[#This Row],[Jorge]]+Tabla13[[#This Row],[Columna1]])</calculatedColumnFormula>
    </tableColumn>
    <tableColumn id="5" xr3:uid="{00000000-0010-0000-0000-000005000000}" name="Meta ind" dataDxfId="50"/>
    <tableColumn id="6" xr3:uid="{00000000-0010-0000-0000-000006000000}" name="Meta isla" dataDxfId="49"/>
    <tableColumn id="9" xr3:uid="{00000000-0010-0000-0000-000009000000}" name="Meta 105%" dataDxfId="48" dataCellStyle="Moneda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CC539AE-0D87-4F0C-9792-C4219C52E56B}" name="Tabla64" displayName="Tabla64" ref="C125:F187" totalsRowShown="0">
  <autoFilter ref="C125:F187" xr:uid="{00000000-0009-0000-0100-000006000000}">
    <filterColumn colId="0">
      <filters blank="1"/>
    </filterColumn>
  </autoFilter>
  <tableColumns count="4">
    <tableColumn id="1" xr3:uid="{00000000-0010-0000-0100-000001000000}" name="Día" dataDxfId="47"/>
    <tableColumn id="2" xr3:uid="{00000000-0010-0000-0100-000002000000}" name="Jorge" dataDxfId="46">
      <calculatedColumnFormula>D61</calculatedColumnFormula>
    </tableColumn>
    <tableColumn id="3" xr3:uid="{00000000-0010-0000-0100-000003000000}" name="Carlos" dataDxfId="45">
      <calculatedColumnFormula>E61</calculatedColumnFormula>
    </tableColumn>
    <tableColumn id="4" xr3:uid="{00000000-0010-0000-0100-000004000000}" name="SM Universidad Mty." dataDxfId="44">
      <calculatedColumnFormula>F61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26508B2-B81B-4E05-80C0-22C099258D19}" name="Tabla15" displayName="Tabla15" ref="C60:I122" totalsRowShown="0">
  <autoFilter ref="C60:I122" xr:uid="{00000000-0009-0000-0100-000001000000}">
    <filterColumn colId="0">
      <customFilters>
        <customFilter operator="notEqual" val=" "/>
      </customFilters>
    </filterColumn>
  </autoFilter>
  <sortState xmlns:xlrd2="http://schemas.microsoft.com/office/spreadsheetml/2017/richdata2" ref="C74:J134">
    <sortCondition ref="I72:I134"/>
  </sortState>
  <tableColumns count="7">
    <tableColumn id="1" xr3:uid="{00000000-0010-0000-0000-000001000000}" name="Día"/>
    <tableColumn id="2" xr3:uid="{00000000-0010-0000-0000-000002000000}" name="Juan" dataDxfId="9" dataCellStyle="Moneda"/>
    <tableColumn id="3" xr3:uid="{00000000-0010-0000-0000-000003000000}" name="Columna1" dataDxfId="8" dataCellStyle="Moneda"/>
    <tableColumn id="4" xr3:uid="{00000000-0010-0000-0000-000004000000}" name="SM Universidad Mty." dataDxfId="7" dataCellStyle="Moneda">
      <calculatedColumnFormula>SUM(Tabla15[[#This Row],[Juan]]+Tabla15[[#This Row],[Columna1]])</calculatedColumnFormula>
    </tableColumn>
    <tableColumn id="5" xr3:uid="{00000000-0010-0000-0000-000005000000}" name="Meta ind" dataDxfId="6"/>
    <tableColumn id="6" xr3:uid="{00000000-0010-0000-0000-000006000000}" name="Meta isla" dataDxfId="5"/>
    <tableColumn id="9" xr3:uid="{00000000-0010-0000-0000-000009000000}" name="Meta 105%" dataDxfId="4" dataCellStyle="Moneda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442BB36-851F-4C14-A4D6-0BE8B0D354CA}" name="Tabla66" displayName="Tabla66" ref="C125:F187" totalsRowShown="0">
  <autoFilter ref="C125:F187" xr:uid="{00000000-0009-0000-0100-000006000000}">
    <filterColumn colId="0">
      <filters blank="1"/>
    </filterColumn>
  </autoFilter>
  <tableColumns count="4">
    <tableColumn id="1" xr3:uid="{00000000-0010-0000-0100-000001000000}" name="Día" dataDxfId="3"/>
    <tableColumn id="2" xr3:uid="{00000000-0010-0000-0100-000002000000}" name="Juan " dataDxfId="2">
      <calculatedColumnFormula>D61</calculatedColumnFormula>
    </tableColumn>
    <tableColumn id="3" xr3:uid="{00000000-0010-0000-0100-000003000000}" name="Carlos" dataDxfId="1">
      <calculatedColumnFormula>E61</calculatedColumnFormula>
    </tableColumn>
    <tableColumn id="4" xr3:uid="{00000000-0010-0000-0100-000004000000}" name="SM Universidad Mty." dataDxfId="0">
      <calculatedColumnFormula>F61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4"/>
  <sheetViews>
    <sheetView showGridLines="0" tabSelected="1" zoomScale="90" zoomScaleNormal="90" workbookViewId="0">
      <selection activeCell="R10" sqref="R10:U11"/>
    </sheetView>
  </sheetViews>
  <sheetFormatPr baseColWidth="10" defaultRowHeight="15" x14ac:dyDescent="0.25"/>
  <cols>
    <col min="1" max="1" width="3.140625" customWidth="1"/>
    <col min="2" max="3" width="3.5703125" customWidth="1"/>
    <col min="4" max="4" width="4.28515625" customWidth="1"/>
    <col min="5" max="5" width="19" customWidth="1"/>
    <col min="6" max="7" width="4.28515625" customWidth="1"/>
    <col min="8" max="8" width="18.5703125" customWidth="1"/>
    <col min="9" max="9" width="4.28515625" customWidth="1"/>
    <col min="10" max="10" width="4.42578125" customWidth="1"/>
    <col min="11" max="11" width="4.28515625" customWidth="1"/>
    <col min="12" max="12" width="18.5703125" customWidth="1"/>
    <col min="13" max="13" width="4.42578125" customWidth="1"/>
    <col min="14" max="14" width="4.28515625" customWidth="1"/>
    <col min="15" max="15" width="18.42578125" customWidth="1"/>
    <col min="16" max="16" width="4.42578125" customWidth="1"/>
    <col min="18" max="18" width="13.5703125" bestFit="1" customWidth="1"/>
    <col min="19" max="19" width="11.42578125" customWidth="1"/>
    <col min="20" max="20" width="13.5703125" bestFit="1" customWidth="1"/>
    <col min="22" max="22" width="12.7109375" customWidth="1"/>
    <col min="24" max="24" width="2.85546875" style="54" customWidth="1"/>
    <col min="25" max="25" width="2.7109375" customWidth="1"/>
    <col min="26" max="26" width="27.85546875" customWidth="1"/>
    <col min="27" max="28" width="15.7109375" customWidth="1"/>
    <col min="29" max="29" width="18.28515625" customWidth="1"/>
  </cols>
  <sheetData>
    <row r="1" spans="1:29" x14ac:dyDescent="0.25">
      <c r="A1" s="54"/>
      <c r="B1" s="58"/>
      <c r="Y1" s="54"/>
      <c r="Z1" s="54"/>
      <c r="AA1" s="54"/>
      <c r="AB1" s="54"/>
      <c r="AC1" s="54"/>
    </row>
    <row r="2" spans="1:29" ht="12.75" customHeight="1" x14ac:dyDescent="0.25">
      <c r="A2" s="58"/>
      <c r="B2" s="58"/>
      <c r="D2" s="111" t="s">
        <v>26</v>
      </c>
      <c r="E2" s="112"/>
      <c r="F2" s="112"/>
      <c r="G2" s="112"/>
      <c r="H2" s="113"/>
      <c r="I2" s="16"/>
      <c r="J2" s="16"/>
      <c r="K2" s="111" t="s">
        <v>27</v>
      </c>
      <c r="L2" s="112"/>
      <c r="M2" s="112"/>
      <c r="N2" s="112"/>
      <c r="O2" s="113"/>
      <c r="Y2" s="104" t="s">
        <v>20</v>
      </c>
      <c r="Z2" s="104"/>
      <c r="AA2" s="104"/>
      <c r="AB2" s="104"/>
      <c r="AC2" s="54"/>
    </row>
    <row r="3" spans="1:29" ht="12" customHeight="1" x14ac:dyDescent="0.25">
      <c r="D3" s="37"/>
      <c r="E3" s="37"/>
      <c r="F3" s="37"/>
      <c r="G3" s="1"/>
      <c r="H3" s="1"/>
      <c r="I3" s="1"/>
      <c r="J3" s="1"/>
      <c r="K3" s="1"/>
      <c r="L3" s="1"/>
      <c r="V3" s="2"/>
      <c r="W3" s="2"/>
      <c r="Y3" s="104"/>
      <c r="Z3" s="104"/>
      <c r="AA3" s="104"/>
      <c r="AB3" s="104"/>
      <c r="AC3" s="57"/>
    </row>
    <row r="4" spans="1:29" x14ac:dyDescent="0.25">
      <c r="D4" s="6">
        <v>1</v>
      </c>
      <c r="E4" s="7">
        <f>343.1+473.27</f>
        <v>816.37</v>
      </c>
      <c r="F4" s="8"/>
      <c r="G4" s="6">
        <v>16</v>
      </c>
      <c r="H4" s="7">
        <v>0</v>
      </c>
      <c r="I4" s="8"/>
      <c r="J4" s="8"/>
      <c r="K4" s="6">
        <v>1</v>
      </c>
      <c r="L4" s="7">
        <f>239.65+602.57</f>
        <v>842.22</v>
      </c>
      <c r="M4" s="8"/>
      <c r="N4" s="6">
        <v>16</v>
      </c>
      <c r="O4" s="7">
        <v>0</v>
      </c>
      <c r="P4" s="8"/>
      <c r="Q4" s="8"/>
      <c r="R4" s="114" t="str">
        <f>IF(G21&gt;AA6,"¡FELICIDADES JORGE!","SIGUE PARTICIPANDO")</f>
        <v>SIGUE PARTICIPANDO</v>
      </c>
      <c r="S4" s="114"/>
      <c r="T4" s="114"/>
      <c r="U4" s="114"/>
      <c r="V4" s="2"/>
      <c r="W4" s="2"/>
      <c r="Y4" s="57"/>
      <c r="Z4" s="56"/>
      <c r="AA4" s="56"/>
      <c r="AB4" s="57"/>
      <c r="AC4" s="57"/>
    </row>
    <row r="5" spans="1:29" x14ac:dyDescent="0.25">
      <c r="D5" s="8">
        <v>2</v>
      </c>
      <c r="E5" s="9">
        <v>0.01</v>
      </c>
      <c r="F5" s="8"/>
      <c r="G5" s="8">
        <v>17</v>
      </c>
      <c r="H5" s="9">
        <v>0</v>
      </c>
      <c r="I5" s="8"/>
      <c r="J5" s="8"/>
      <c r="K5" s="8">
        <v>2</v>
      </c>
      <c r="L5" s="9">
        <v>0</v>
      </c>
      <c r="M5" s="8"/>
      <c r="N5" s="8">
        <v>17</v>
      </c>
      <c r="O5" s="9">
        <f>772.42+542.24+2420.61</f>
        <v>3735.27</v>
      </c>
      <c r="P5" s="8"/>
      <c r="Q5" s="8"/>
      <c r="R5" s="114"/>
      <c r="S5" s="114"/>
      <c r="T5" s="114"/>
      <c r="U5" s="114"/>
      <c r="V5" s="2"/>
      <c r="W5" s="2"/>
      <c r="Y5" s="105" t="s">
        <v>21</v>
      </c>
      <c r="Z5" s="105"/>
      <c r="AA5" s="105"/>
      <c r="AB5" s="105"/>
      <c r="AC5" s="105"/>
    </row>
    <row r="6" spans="1:29" x14ac:dyDescent="0.25">
      <c r="D6" s="6">
        <v>3</v>
      </c>
      <c r="E6" s="7">
        <v>0</v>
      </c>
      <c r="F6" s="8"/>
      <c r="G6" s="6">
        <v>18</v>
      </c>
      <c r="H6" s="7">
        <v>1901.58</v>
      </c>
      <c r="I6" s="8"/>
      <c r="J6" s="8"/>
      <c r="K6" s="6">
        <v>3</v>
      </c>
      <c r="L6" s="7">
        <f>1723.28+300</f>
        <v>2023.28</v>
      </c>
      <c r="M6" s="8"/>
      <c r="N6" s="6">
        <v>18</v>
      </c>
      <c r="O6" s="7">
        <v>0</v>
      </c>
      <c r="P6" s="8"/>
      <c r="Q6" s="8"/>
      <c r="R6" s="109" t="s">
        <v>0</v>
      </c>
      <c r="S6" s="110"/>
      <c r="T6" s="115">
        <f>SUM(G21,N21,N29)</f>
        <v>68660.78</v>
      </c>
      <c r="U6" s="116"/>
      <c r="V6" s="2"/>
      <c r="W6" s="2"/>
      <c r="Z6" s="53" t="s">
        <v>18</v>
      </c>
      <c r="AA6" s="41">
        <f>T7/2</f>
        <v>40000</v>
      </c>
      <c r="AB6" s="3"/>
      <c r="AC6" s="3"/>
    </row>
    <row r="7" spans="1:29" x14ac:dyDescent="0.25">
      <c r="D7" s="8">
        <v>4</v>
      </c>
      <c r="E7" s="11">
        <v>0</v>
      </c>
      <c r="F7" s="8"/>
      <c r="G7" s="8">
        <v>19</v>
      </c>
      <c r="H7" s="11">
        <v>0</v>
      </c>
      <c r="I7" s="8"/>
      <c r="J7" s="8"/>
      <c r="K7" s="8">
        <v>4</v>
      </c>
      <c r="L7" s="9">
        <v>516.38</v>
      </c>
      <c r="M7" s="8"/>
      <c r="N7" s="8">
        <v>19</v>
      </c>
      <c r="O7" s="11">
        <v>343.97</v>
      </c>
      <c r="P7" s="8"/>
      <c r="Q7" s="8"/>
      <c r="R7" s="109" t="s">
        <v>17</v>
      </c>
      <c r="S7" s="110"/>
      <c r="T7" s="106">
        <v>80000</v>
      </c>
      <c r="U7" s="107"/>
      <c r="V7" s="3"/>
      <c r="W7" s="63"/>
      <c r="X7" s="55"/>
      <c r="Z7" s="53" t="s">
        <v>19</v>
      </c>
      <c r="AA7" s="41">
        <f>AA6*0.91</f>
        <v>36400</v>
      </c>
      <c r="AB7" s="3"/>
      <c r="AC7" s="70" t="s">
        <v>35</v>
      </c>
    </row>
    <row r="8" spans="1:29" x14ac:dyDescent="0.25">
      <c r="D8" s="6">
        <v>5</v>
      </c>
      <c r="E8" s="7">
        <f>559.48+516.37+387.06</f>
        <v>1462.9099999999999</v>
      </c>
      <c r="F8" s="8"/>
      <c r="G8" s="6">
        <v>20</v>
      </c>
      <c r="H8" s="7">
        <v>0</v>
      </c>
      <c r="I8" s="8"/>
      <c r="J8" s="8"/>
      <c r="K8" s="6">
        <v>5</v>
      </c>
      <c r="L8" s="7">
        <v>0</v>
      </c>
      <c r="M8" s="8"/>
      <c r="N8" s="6">
        <v>20</v>
      </c>
      <c r="O8" s="7">
        <v>731.89</v>
      </c>
      <c r="P8" s="8"/>
      <c r="Q8" s="8"/>
      <c r="R8" s="109" t="s">
        <v>4</v>
      </c>
      <c r="S8" s="110"/>
      <c r="T8" s="119">
        <f>T6/T7</f>
        <v>0.85825974999999999</v>
      </c>
      <c r="U8" s="120"/>
      <c r="V8" s="63"/>
      <c r="W8" s="3"/>
      <c r="X8" s="55"/>
      <c r="Z8" s="53" t="s">
        <v>22</v>
      </c>
      <c r="AA8" s="47">
        <f>IF(G21&gt;AA7,G21*0.011,0)</f>
        <v>0</v>
      </c>
      <c r="AB8" s="47">
        <f>IF(N21&gt;AA7,N21*0.011,(IF(N21&gt;0.91,N21*0.0035)))</f>
        <v>527.12439999999992</v>
      </c>
      <c r="AC8" s="69">
        <f>AC11+1</f>
        <v>31</v>
      </c>
    </row>
    <row r="9" spans="1:29" x14ac:dyDescent="0.25">
      <c r="D9" s="8">
        <v>6</v>
      </c>
      <c r="E9" s="9">
        <v>4409.3599999999997</v>
      </c>
      <c r="F9" s="8"/>
      <c r="G9" s="8">
        <v>21</v>
      </c>
      <c r="H9" s="11">
        <v>0</v>
      </c>
      <c r="I9" s="8"/>
      <c r="J9" s="8"/>
      <c r="K9" s="8">
        <v>6</v>
      </c>
      <c r="L9" s="9">
        <v>0.01</v>
      </c>
      <c r="M9" s="8"/>
      <c r="N9" s="8">
        <v>21</v>
      </c>
      <c r="O9" s="9">
        <f>1119.83+1704.31</f>
        <v>2824.14</v>
      </c>
      <c r="P9" s="8"/>
      <c r="Q9" s="8"/>
      <c r="R9" s="117" t="s">
        <v>2</v>
      </c>
      <c r="S9" s="118"/>
      <c r="T9" s="115">
        <f>T7-T6</f>
        <v>11339.220000000001</v>
      </c>
      <c r="U9" s="116"/>
      <c r="V9" s="3"/>
      <c r="W9" s="5"/>
      <c r="X9" s="55"/>
      <c r="Z9" s="53" t="s">
        <v>24</v>
      </c>
      <c r="AA9" s="41">
        <f>T7*0.1</f>
        <v>8000</v>
      </c>
      <c r="AB9" s="3"/>
      <c r="AC9" s="3"/>
    </row>
    <row r="10" spans="1:29" x14ac:dyDescent="0.25">
      <c r="D10" s="6">
        <v>7</v>
      </c>
      <c r="E10" s="7">
        <v>0</v>
      </c>
      <c r="F10" s="8"/>
      <c r="G10" s="6">
        <v>22</v>
      </c>
      <c r="H10" s="7">
        <v>0.01</v>
      </c>
      <c r="I10" s="8"/>
      <c r="J10" s="8"/>
      <c r="K10" s="6">
        <v>7</v>
      </c>
      <c r="L10" s="7">
        <v>0.01</v>
      </c>
      <c r="M10" s="8"/>
      <c r="N10" s="6">
        <v>22</v>
      </c>
      <c r="O10" s="7">
        <f>2068.1+369.83</f>
        <v>2437.9299999999998</v>
      </c>
      <c r="P10" s="38"/>
      <c r="Q10" s="8"/>
      <c r="R10" s="114" t="str">
        <f>IF(N21&gt;AA6,"¡FELICIDADES CARLOS!","SIGUE PARTICIPANDO")</f>
        <v>¡FELICIDADES CARLOS!</v>
      </c>
      <c r="S10" s="114"/>
      <c r="T10" s="114"/>
      <c r="U10" s="114"/>
      <c r="V10" s="3"/>
      <c r="W10" s="3"/>
      <c r="X10" s="55"/>
      <c r="Z10" s="53" t="s">
        <v>30</v>
      </c>
      <c r="AA10" s="67">
        <v>43739</v>
      </c>
      <c r="AC10" s="68" t="s">
        <v>32</v>
      </c>
    </row>
    <row r="11" spans="1:29" x14ac:dyDescent="0.25">
      <c r="D11" s="8">
        <v>8</v>
      </c>
      <c r="E11" s="9">
        <v>0.01</v>
      </c>
      <c r="F11" s="8"/>
      <c r="G11" s="8">
        <v>23</v>
      </c>
      <c r="H11" s="9">
        <v>861.2</v>
      </c>
      <c r="I11" s="8"/>
      <c r="J11" s="8"/>
      <c r="K11" s="8">
        <v>8</v>
      </c>
      <c r="L11" s="9">
        <v>0</v>
      </c>
      <c r="M11" s="8"/>
      <c r="N11" s="8">
        <v>23</v>
      </c>
      <c r="O11" s="9">
        <v>0.01</v>
      </c>
      <c r="P11" s="8"/>
      <c r="Q11" s="8"/>
      <c r="R11" s="114"/>
      <c r="S11" s="114"/>
      <c r="T11" s="114"/>
      <c r="U11" s="114"/>
      <c r="W11" s="5"/>
      <c r="X11" s="55"/>
      <c r="Z11" s="53" t="s">
        <v>31</v>
      </c>
      <c r="AA11" s="67">
        <v>43769</v>
      </c>
      <c r="AC11" s="69">
        <f>_xlfn.DAYS(AA11,AA10)</f>
        <v>30</v>
      </c>
    </row>
    <row r="12" spans="1:29" x14ac:dyDescent="0.25">
      <c r="D12" s="6">
        <v>9</v>
      </c>
      <c r="E12" s="7">
        <v>0</v>
      </c>
      <c r="F12" s="8"/>
      <c r="G12" s="6">
        <v>24</v>
      </c>
      <c r="H12" s="7">
        <v>0</v>
      </c>
      <c r="I12" s="8"/>
      <c r="J12" s="8"/>
      <c r="K12" s="6">
        <v>9</v>
      </c>
      <c r="L12" s="7">
        <v>0</v>
      </c>
      <c r="M12" s="8"/>
      <c r="N12" s="6">
        <v>24</v>
      </c>
      <c r="O12" s="7">
        <v>0</v>
      </c>
      <c r="P12" s="8"/>
      <c r="Q12" s="8"/>
      <c r="R12" s="87"/>
      <c r="S12" s="87"/>
      <c r="T12" s="87"/>
      <c r="U12" s="87"/>
      <c r="V12" s="4"/>
      <c r="W12" s="3"/>
      <c r="X12" s="55"/>
      <c r="AB12" s="41"/>
      <c r="AC12" s="24"/>
    </row>
    <row r="13" spans="1:29" x14ac:dyDescent="0.25">
      <c r="D13" s="8">
        <v>10</v>
      </c>
      <c r="E13" s="9">
        <v>516.37</v>
      </c>
      <c r="F13" s="8"/>
      <c r="G13" s="8">
        <v>25</v>
      </c>
      <c r="H13" s="11">
        <v>300</v>
      </c>
      <c r="I13" s="8"/>
      <c r="J13" s="8"/>
      <c r="K13" s="8">
        <v>10</v>
      </c>
      <c r="L13" s="9">
        <v>0</v>
      </c>
      <c r="M13" s="8"/>
      <c r="N13" s="8">
        <v>25</v>
      </c>
      <c r="O13" s="9">
        <f>1033.79+1085.34</f>
        <v>2119.13</v>
      </c>
      <c r="P13" s="8" t="s">
        <v>5</v>
      </c>
      <c r="R13" s="88" t="s">
        <v>33</v>
      </c>
      <c r="S13" s="88"/>
      <c r="T13" s="88"/>
      <c r="U13" s="88"/>
      <c r="V13" s="4"/>
      <c r="W13" s="4"/>
      <c r="X13" s="55"/>
      <c r="AB13" s="41"/>
      <c r="AC13" s="24"/>
    </row>
    <row r="14" spans="1:29" x14ac:dyDescent="0.25">
      <c r="D14" s="6">
        <v>11</v>
      </c>
      <c r="E14" s="7">
        <v>3025.76</v>
      </c>
      <c r="F14" s="8"/>
      <c r="G14" s="6">
        <v>26</v>
      </c>
      <c r="H14" s="7">
        <v>0</v>
      </c>
      <c r="I14" s="8"/>
      <c r="J14" s="8"/>
      <c r="K14" s="6">
        <v>11</v>
      </c>
      <c r="L14" s="7">
        <f>13469.81+2808.4+344.46</f>
        <v>16622.669999999998</v>
      </c>
      <c r="M14" s="8"/>
      <c r="N14" s="6">
        <v>26</v>
      </c>
      <c r="O14" s="7">
        <v>673.64</v>
      </c>
      <c r="P14" s="8"/>
      <c r="R14" s="128">
        <v>43769</v>
      </c>
      <c r="S14" s="128"/>
      <c r="T14" s="128"/>
      <c r="U14" s="128"/>
      <c r="Z14" s="105" t="s">
        <v>28</v>
      </c>
      <c r="AA14" s="105"/>
      <c r="AB14" s="41"/>
      <c r="AC14" s="24"/>
    </row>
    <row r="15" spans="1:29" x14ac:dyDescent="0.25">
      <c r="D15" s="8">
        <v>12</v>
      </c>
      <c r="E15" s="9">
        <v>214.65</v>
      </c>
      <c r="F15" s="8"/>
      <c r="G15" s="8">
        <v>27</v>
      </c>
      <c r="H15" s="11">
        <f>257.69+300.92+386.2+516.37</f>
        <v>1461.1799999999998</v>
      </c>
      <c r="I15" s="8"/>
      <c r="J15" s="8"/>
      <c r="K15" s="8">
        <v>12</v>
      </c>
      <c r="L15" s="11">
        <f>10343.97+688.79</f>
        <v>11032.759999999998</v>
      </c>
      <c r="M15" s="8"/>
      <c r="N15" s="8">
        <v>27</v>
      </c>
      <c r="O15" s="9">
        <v>0</v>
      </c>
      <c r="P15" s="8"/>
      <c r="R15" s="91" t="s">
        <v>34</v>
      </c>
      <c r="S15" s="91"/>
      <c r="T15" s="126">
        <f>SUM(G21,N21)/AC11</f>
        <v>2220.3993333333333</v>
      </c>
      <c r="U15" s="127"/>
      <c r="Z15" s="59"/>
      <c r="AA15" s="59" t="s">
        <v>29</v>
      </c>
    </row>
    <row r="16" spans="1:29" x14ac:dyDescent="0.25">
      <c r="D16" s="6">
        <v>13</v>
      </c>
      <c r="E16" s="7">
        <f>516.37+213.79</f>
        <v>730.16</v>
      </c>
      <c r="F16" s="8"/>
      <c r="G16" s="6">
        <v>28</v>
      </c>
      <c r="H16" s="7">
        <v>0</v>
      </c>
      <c r="I16" s="8"/>
      <c r="J16" s="8"/>
      <c r="K16" s="6">
        <v>13</v>
      </c>
      <c r="L16" s="7">
        <v>0</v>
      </c>
      <c r="M16" s="8"/>
      <c r="N16" s="6">
        <v>28</v>
      </c>
      <c r="O16" s="7">
        <v>0.01</v>
      </c>
      <c r="P16" s="8"/>
      <c r="Q16" s="2"/>
      <c r="R16" s="91" t="str">
        <f>D2</f>
        <v>Jorge Carrasco</v>
      </c>
      <c r="S16" s="91"/>
      <c r="T16" s="125">
        <f>SUM(G21)/AC11</f>
        <v>623.05266666666671</v>
      </c>
      <c r="U16" s="125"/>
      <c r="V16" s="41"/>
      <c r="Z16" s="41">
        <f>T7*0.91</f>
        <v>72800</v>
      </c>
      <c r="AA16" s="49">
        <f>SUM(Z16:Z25)</f>
        <v>84435</v>
      </c>
    </row>
    <row r="17" spans="4:29" x14ac:dyDescent="0.25">
      <c r="D17" s="8">
        <v>14</v>
      </c>
      <c r="E17" s="9">
        <v>343.1</v>
      </c>
      <c r="F17" s="8"/>
      <c r="G17" s="8">
        <v>29</v>
      </c>
      <c r="H17" s="9">
        <v>0</v>
      </c>
      <c r="I17" s="8"/>
      <c r="J17" s="8"/>
      <c r="K17" s="8">
        <v>14</v>
      </c>
      <c r="L17" s="9">
        <v>0.01</v>
      </c>
      <c r="M17" s="8"/>
      <c r="N17" s="8">
        <v>29</v>
      </c>
      <c r="O17" s="11">
        <v>473.28</v>
      </c>
      <c r="P17" s="8"/>
      <c r="Q17" s="2"/>
      <c r="R17" s="91" t="str">
        <f>K2</f>
        <v>Carlos Ponce</v>
      </c>
      <c r="S17" s="91"/>
      <c r="T17" s="92">
        <f>N21/AC11</f>
        <v>1597.3466666666666</v>
      </c>
      <c r="U17" s="92"/>
      <c r="V17" s="41"/>
      <c r="Z17" s="61">
        <f>Z16-61165</f>
        <v>11635</v>
      </c>
    </row>
    <row r="18" spans="4:29" x14ac:dyDescent="0.25">
      <c r="D18" s="6">
        <v>15</v>
      </c>
      <c r="E18" s="7">
        <v>0.01</v>
      </c>
      <c r="F18" s="8"/>
      <c r="G18" s="6">
        <v>30</v>
      </c>
      <c r="H18" s="7">
        <v>0</v>
      </c>
      <c r="I18" s="8"/>
      <c r="J18" s="8"/>
      <c r="K18" s="6">
        <v>15</v>
      </c>
      <c r="L18" s="7">
        <f>561.26+2982.53</f>
        <v>3543.79</v>
      </c>
      <c r="M18" s="8"/>
      <c r="N18" s="6">
        <v>30</v>
      </c>
      <c r="O18" s="7">
        <v>0</v>
      </c>
      <c r="P18" s="8"/>
      <c r="Q18" s="2"/>
      <c r="R18" s="91"/>
      <c r="S18" s="91"/>
      <c r="T18" s="124"/>
      <c r="U18" s="124"/>
      <c r="Z18" s="61"/>
    </row>
    <row r="19" spans="4:29" ht="15" customHeight="1" x14ac:dyDescent="0.25">
      <c r="D19" s="10"/>
      <c r="E19" s="11"/>
      <c r="F19" s="10"/>
      <c r="G19" s="10">
        <v>31</v>
      </c>
      <c r="H19" s="11">
        <v>2648.9</v>
      </c>
      <c r="I19" s="10"/>
      <c r="J19" s="10"/>
      <c r="K19" s="10"/>
      <c r="L19" s="11"/>
      <c r="M19" s="10"/>
      <c r="N19" s="10">
        <v>31</v>
      </c>
      <c r="O19" s="11">
        <v>0</v>
      </c>
      <c r="P19" s="10"/>
      <c r="Q19" s="64"/>
      <c r="R19" s="91"/>
      <c r="S19" s="91"/>
      <c r="T19" s="123"/>
      <c r="U19" s="123"/>
      <c r="W19" s="24"/>
      <c r="X19" s="51"/>
      <c r="Y19" s="51"/>
      <c r="Z19" s="61"/>
      <c r="AB19" s="24"/>
      <c r="AC19" s="24"/>
    </row>
    <row r="20" spans="4:29" ht="15" customHeight="1" x14ac:dyDescent="0.25">
      <c r="D20" s="8"/>
      <c r="E20" s="38"/>
      <c r="F20" s="8"/>
      <c r="G20" s="8"/>
      <c r="H20" s="65"/>
      <c r="I20" s="8"/>
      <c r="J20" s="8"/>
      <c r="K20" s="8"/>
      <c r="L20" s="38"/>
      <c r="M20" s="8"/>
      <c r="N20" s="8"/>
      <c r="O20" s="9"/>
      <c r="P20" s="8"/>
      <c r="Q20" s="2"/>
      <c r="S20" s="64"/>
      <c r="T20" s="2"/>
      <c r="W20" s="24"/>
      <c r="X20" s="51"/>
      <c r="Y20" s="51"/>
      <c r="Z20" s="61"/>
      <c r="AB20" s="41"/>
      <c r="AC20" s="24"/>
    </row>
    <row r="21" spans="4:29" x14ac:dyDescent="0.25">
      <c r="D21" s="89" t="s">
        <v>1</v>
      </c>
      <c r="E21" s="89"/>
      <c r="F21" s="89"/>
      <c r="G21" s="108">
        <f>SUM(E4:E18,H4:H19)</f>
        <v>18691.580000000002</v>
      </c>
      <c r="H21" s="108"/>
      <c r="I21" s="8"/>
      <c r="J21" s="8"/>
      <c r="K21" s="89" t="s">
        <v>1</v>
      </c>
      <c r="L21" s="89"/>
      <c r="M21" s="89"/>
      <c r="N21" s="108">
        <f>SUM(L4:L18,O4:O19)</f>
        <v>47920.399999999994</v>
      </c>
      <c r="O21" s="108"/>
      <c r="P21" s="8"/>
      <c r="Q21" s="2"/>
      <c r="S21" s="2"/>
      <c r="T21" s="2"/>
      <c r="W21" s="24"/>
      <c r="X21" s="24"/>
      <c r="Y21" s="9"/>
      <c r="Z21" s="61"/>
      <c r="AB21" s="41"/>
      <c r="AC21" s="24"/>
    </row>
    <row r="22" spans="4:29" x14ac:dyDescent="0.25">
      <c r="D22" s="89" t="s">
        <v>3</v>
      </c>
      <c r="E22" s="89"/>
      <c r="F22" s="89"/>
      <c r="G22" s="90">
        <f>G21/AA6</f>
        <v>0.46728950000000002</v>
      </c>
      <c r="H22" s="90"/>
      <c r="I22" s="8"/>
      <c r="J22" s="8"/>
      <c r="K22" s="89" t="s">
        <v>3</v>
      </c>
      <c r="L22" s="89"/>
      <c r="M22" s="89"/>
      <c r="N22" s="90">
        <f>N21/AA6</f>
        <v>1.1980099999999998</v>
      </c>
      <c r="O22" s="90"/>
      <c r="P22" s="8"/>
      <c r="Q22" s="2"/>
      <c r="R22" s="66"/>
      <c r="S22" s="2"/>
      <c r="T22" s="64"/>
      <c r="W22" s="24"/>
      <c r="X22" s="52"/>
      <c r="Y22" s="52"/>
      <c r="Z22" s="61"/>
      <c r="AB22" s="41"/>
      <c r="AC22" s="24"/>
    </row>
    <row r="23" spans="4:29" x14ac:dyDescent="0.25">
      <c r="D23" s="89" t="s">
        <v>14</v>
      </c>
      <c r="E23" s="89"/>
      <c r="F23" s="89"/>
      <c r="G23" s="95">
        <f>AA8</f>
        <v>0</v>
      </c>
      <c r="H23" s="95"/>
      <c r="I23" s="8"/>
      <c r="J23" s="8"/>
      <c r="K23" s="89" t="s">
        <v>14</v>
      </c>
      <c r="L23" s="89"/>
      <c r="M23" s="89"/>
      <c r="N23" s="94">
        <f>AB8</f>
        <v>527.12439999999992</v>
      </c>
      <c r="O23" s="94"/>
      <c r="P23" s="8"/>
      <c r="Q23" s="2"/>
      <c r="R23" s="2"/>
      <c r="S23" s="2"/>
      <c r="T23" s="64"/>
      <c r="W23" s="24"/>
      <c r="Z23" s="61"/>
    </row>
    <row r="24" spans="4:29" x14ac:dyDescent="0.25">
      <c r="D24" s="89" t="s">
        <v>2</v>
      </c>
      <c r="E24" s="89"/>
      <c r="F24" s="89"/>
      <c r="G24" s="93">
        <f>AA6-G21</f>
        <v>21308.42</v>
      </c>
      <c r="H24" s="93"/>
      <c r="K24" s="89" t="s">
        <v>2</v>
      </c>
      <c r="L24" s="89"/>
      <c r="M24" s="89"/>
      <c r="N24" s="93">
        <f>AA6-N21</f>
        <v>-7920.3999999999942</v>
      </c>
      <c r="O24" s="93"/>
      <c r="W24" s="24"/>
      <c r="X24" s="50"/>
      <c r="Y24" s="50"/>
      <c r="Z24" s="61"/>
    </row>
    <row r="25" spans="4:29" ht="12" customHeight="1" x14ac:dyDescent="0.25">
      <c r="L25" s="41"/>
      <c r="Z25" s="62"/>
    </row>
    <row r="26" spans="4:29" ht="12" customHeight="1" x14ac:dyDescent="0.25">
      <c r="E26" s="41"/>
      <c r="L26" s="47"/>
      <c r="M26" s="47"/>
      <c r="N26" s="47"/>
      <c r="O26" s="47"/>
    </row>
    <row r="27" spans="4:29" ht="15.75" x14ac:dyDescent="0.25">
      <c r="D27" s="96" t="s">
        <v>15</v>
      </c>
      <c r="E27" s="97"/>
      <c r="F27" s="97"/>
      <c r="G27" s="97"/>
      <c r="H27" s="98"/>
    </row>
    <row r="28" spans="4:29" ht="12" customHeight="1" x14ac:dyDescent="0.25">
      <c r="D28" s="32"/>
      <c r="E28" s="32"/>
      <c r="F28" s="32"/>
      <c r="G28" s="32"/>
      <c r="H28" s="32"/>
      <c r="R28" s="10"/>
    </row>
    <row r="29" spans="4:29" x14ac:dyDescent="0.25">
      <c r="D29">
        <v>1</v>
      </c>
      <c r="E29" s="49">
        <v>1678.98</v>
      </c>
      <c r="G29">
        <v>5</v>
      </c>
      <c r="H29" s="49">
        <v>0</v>
      </c>
      <c r="K29" s="99" t="s">
        <v>16</v>
      </c>
      <c r="L29" s="100"/>
      <c r="M29" s="101"/>
      <c r="N29" s="102">
        <f>SUM(E29:E32,H29:H32)</f>
        <v>2048.8000000000002</v>
      </c>
      <c r="O29" s="103"/>
      <c r="P29" s="24"/>
      <c r="Q29" s="8"/>
      <c r="R29" s="8"/>
    </row>
    <row r="30" spans="4:29" x14ac:dyDescent="0.25">
      <c r="D30">
        <v>2</v>
      </c>
      <c r="E30" s="47">
        <v>369.82</v>
      </c>
      <c r="G30">
        <v>6</v>
      </c>
      <c r="H30" s="47">
        <v>0</v>
      </c>
      <c r="K30" s="121" t="s">
        <v>3</v>
      </c>
      <c r="L30" s="121"/>
      <c r="M30" s="121"/>
      <c r="N30" s="122">
        <f>N29/AA9</f>
        <v>0.25610000000000005</v>
      </c>
      <c r="O30" s="122"/>
      <c r="P30" s="24"/>
      <c r="Q30" s="8"/>
      <c r="R30" s="38"/>
    </row>
    <row r="31" spans="4:29" x14ac:dyDescent="0.25">
      <c r="D31">
        <v>3</v>
      </c>
      <c r="E31" s="49">
        <v>0</v>
      </c>
      <c r="G31">
        <v>7</v>
      </c>
      <c r="H31" s="49">
        <v>0</v>
      </c>
      <c r="P31" s="24"/>
      <c r="Q31" s="8"/>
      <c r="X31"/>
    </row>
    <row r="32" spans="4:29" x14ac:dyDescent="0.25">
      <c r="D32">
        <v>4</v>
      </c>
      <c r="E32" s="47">
        <v>0</v>
      </c>
      <c r="G32">
        <v>8</v>
      </c>
      <c r="H32" s="47">
        <v>0</v>
      </c>
      <c r="P32" s="24"/>
      <c r="X32"/>
    </row>
    <row r="33" spans="4:24" x14ac:dyDescent="0.25">
      <c r="D33" s="2"/>
      <c r="E33" s="59"/>
      <c r="F33" s="2"/>
      <c r="G33" s="2"/>
      <c r="H33" s="59"/>
      <c r="J33" s="24"/>
      <c r="K33" s="24"/>
      <c r="M33" s="41"/>
      <c r="R33" s="41"/>
      <c r="X33"/>
    </row>
    <row r="34" spans="4:24" x14ac:dyDescent="0.25">
      <c r="J34" s="24"/>
      <c r="K34" s="24"/>
      <c r="L34" s="24"/>
      <c r="M34" s="24"/>
      <c r="N34" s="24"/>
      <c r="O34" s="24"/>
      <c r="P34" s="24"/>
    </row>
  </sheetData>
  <mergeCells count="49">
    <mergeCell ref="Z14:AA14"/>
    <mergeCell ref="K30:M30"/>
    <mergeCell ref="N30:O30"/>
    <mergeCell ref="T19:U19"/>
    <mergeCell ref="T18:U18"/>
    <mergeCell ref="T16:U16"/>
    <mergeCell ref="R19:S19"/>
    <mergeCell ref="R18:S18"/>
    <mergeCell ref="R15:S15"/>
    <mergeCell ref="R16:S16"/>
    <mergeCell ref="T15:U15"/>
    <mergeCell ref="R14:U14"/>
    <mergeCell ref="R10:U11"/>
    <mergeCell ref="R8:S8"/>
    <mergeCell ref="R9:S9"/>
    <mergeCell ref="T9:U9"/>
    <mergeCell ref="T8:U8"/>
    <mergeCell ref="D27:H27"/>
    <mergeCell ref="K29:M29"/>
    <mergeCell ref="N29:O29"/>
    <mergeCell ref="Y2:AB3"/>
    <mergeCell ref="Y5:AC5"/>
    <mergeCell ref="T7:U7"/>
    <mergeCell ref="D21:F21"/>
    <mergeCell ref="G21:H21"/>
    <mergeCell ref="K21:M21"/>
    <mergeCell ref="N21:O21"/>
    <mergeCell ref="R7:S7"/>
    <mergeCell ref="D2:H2"/>
    <mergeCell ref="K2:O2"/>
    <mergeCell ref="R4:U5"/>
    <mergeCell ref="R6:S6"/>
    <mergeCell ref="T6:U6"/>
    <mergeCell ref="D24:F24"/>
    <mergeCell ref="G24:H24"/>
    <mergeCell ref="K24:M24"/>
    <mergeCell ref="N24:O24"/>
    <mergeCell ref="D23:F23"/>
    <mergeCell ref="K23:M23"/>
    <mergeCell ref="N23:O23"/>
    <mergeCell ref="G23:H23"/>
    <mergeCell ref="R12:U12"/>
    <mergeCell ref="R13:U13"/>
    <mergeCell ref="D22:F22"/>
    <mergeCell ref="G22:H22"/>
    <mergeCell ref="K22:M22"/>
    <mergeCell ref="N22:O22"/>
    <mergeCell ref="R17:S17"/>
    <mergeCell ref="T17:U17"/>
  </mergeCells>
  <conditionalFormatting sqref="G24:H24">
    <cfRule type="cellIs" dxfId="132" priority="25" operator="lessThan">
      <formula>0</formula>
    </cfRule>
  </conditionalFormatting>
  <conditionalFormatting sqref="N24:O24">
    <cfRule type="cellIs" dxfId="131" priority="26" operator="lessThan">
      <formula>0</formula>
    </cfRule>
  </conditionalFormatting>
  <conditionalFormatting sqref="G21:H21">
    <cfRule type="cellIs" dxfId="130" priority="24" operator="greaterThan">
      <formula>AA6</formula>
    </cfRule>
  </conditionalFormatting>
  <conditionalFormatting sqref="N21:O21">
    <cfRule type="cellIs" dxfId="129" priority="23" operator="greaterThan">
      <formula>$AA$6</formula>
    </cfRule>
  </conditionalFormatting>
  <conditionalFormatting sqref="T6">
    <cfRule type="cellIs" dxfId="128" priority="22" operator="greaterThan">
      <formula>$T$7</formula>
    </cfRule>
  </conditionalFormatting>
  <conditionalFormatting sqref="R10">
    <cfRule type="containsText" dxfId="127" priority="21" operator="containsText" text="¡FELICIDADES CARLOS!">
      <formula>NOT(ISERROR(SEARCH("¡FELICIDADES CARLOS!",R10)))</formula>
    </cfRule>
  </conditionalFormatting>
  <conditionalFormatting sqref="R4">
    <cfRule type="containsText" dxfId="126" priority="20" operator="containsText" text="¡FELICIDADES JUAN!">
      <formula>NOT(ISERROR(SEARCH("¡FELICIDADES JUAN!",R4)))</formula>
    </cfRule>
  </conditionalFormatting>
  <conditionalFormatting sqref="T8">
    <cfRule type="cellIs" dxfId="125" priority="19" operator="greaterThan">
      <formula>0.95</formula>
    </cfRule>
  </conditionalFormatting>
  <conditionalFormatting sqref="N22:O22">
    <cfRule type="cellIs" dxfId="124" priority="18" operator="greaterThan">
      <formula>0.91</formula>
    </cfRule>
  </conditionalFormatting>
  <conditionalFormatting sqref="G22:H22">
    <cfRule type="cellIs" dxfId="123" priority="17" operator="greaterThan">
      <formula>0.95</formula>
    </cfRule>
  </conditionalFormatting>
  <conditionalFormatting sqref="T9">
    <cfRule type="cellIs" dxfId="122" priority="16" operator="lessThan">
      <formula>0</formula>
    </cfRule>
  </conditionalFormatting>
  <conditionalFormatting sqref="N23:O23">
    <cfRule type="cellIs" dxfId="121" priority="14" operator="greaterThan">
      <formula>0</formula>
    </cfRule>
  </conditionalFormatting>
  <conditionalFormatting sqref="X24:Y24">
    <cfRule type="cellIs" dxfId="120" priority="13" operator="lessThan">
      <formula>0</formula>
    </cfRule>
  </conditionalFormatting>
  <conditionalFormatting sqref="N29">
    <cfRule type="cellIs" dxfId="119" priority="12" operator="greaterThan">
      <formula>44000</formula>
    </cfRule>
  </conditionalFormatting>
  <conditionalFormatting sqref="T7">
    <cfRule type="cellIs" dxfId="118" priority="8" operator="lessThan">
      <formula>$T$6</formula>
    </cfRule>
  </conditionalFormatting>
  <conditionalFormatting sqref="E4:E18 O4:O19 H4:H19 L4:L18">
    <cfRule type="cellIs" dxfId="117" priority="3" operator="equal">
      <formula>-0.01</formula>
    </cfRule>
    <cfRule type="cellIs" dxfId="116" priority="7" operator="equal">
      <formula>0.01</formula>
    </cfRule>
  </conditionalFormatting>
  <conditionalFormatting sqref="G23:H23">
    <cfRule type="cellIs" dxfId="115" priority="6" operator="greaterThan">
      <formula>0</formula>
    </cfRule>
  </conditionalFormatting>
  <conditionalFormatting sqref="N30:O30">
    <cfRule type="cellIs" dxfId="114" priority="4" operator="greaterThan">
      <formula>0</formula>
    </cfRule>
  </conditionalFormatting>
  <conditionalFormatting sqref="N29">
    <cfRule type="cellIs" dxfId="113" priority="28" operator="greaterThan">
      <formula>$T$6&gt;88000</formula>
    </cfRule>
  </conditionalFormatting>
  <conditionalFormatting sqref="R4:U5">
    <cfRule type="containsText" dxfId="112" priority="2" operator="containsText" text="¡FELICIDADES JORGE!">
      <formula>NOT(ISERROR(SEARCH("¡FELICIDADES JORGE!",R4)))</formula>
    </cfRule>
  </conditionalFormatting>
  <conditionalFormatting sqref="N29:O29">
    <cfRule type="cellIs" dxfId="111" priority="29" operator="greaterThan">
      <formula>$AA$9</formula>
    </cfRule>
  </conditionalFormatting>
  <conditionalFormatting sqref="D4:D18 G4:G19 K4:K18 N4:N19">
    <cfRule type="cellIs" dxfId="110" priority="1" operator="equal">
      <formula>$AC$8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K187"/>
  <sheetViews>
    <sheetView topLeftCell="A53" zoomScaleNormal="100" workbookViewId="0">
      <selection activeCell="C112" sqref="C112"/>
    </sheetView>
  </sheetViews>
  <sheetFormatPr baseColWidth="10" defaultRowHeight="15" x14ac:dyDescent="0.25"/>
  <cols>
    <col min="1" max="1" width="3.140625" customWidth="1"/>
    <col min="2" max="2" width="9.7109375" customWidth="1"/>
    <col min="3" max="3" width="6" customWidth="1"/>
    <col min="4" max="5" width="19" customWidth="1"/>
    <col min="6" max="6" width="21.42578125" customWidth="1"/>
    <col min="7" max="9" width="5.85546875" customWidth="1"/>
    <col min="10" max="10" width="10.140625" customWidth="1"/>
    <col min="11" max="11" width="4.42578125" customWidth="1"/>
    <col min="12" max="12" width="4.28515625" customWidth="1"/>
    <col min="13" max="13" width="6.7109375" customWidth="1"/>
    <col min="14" max="16" width="19" customWidth="1"/>
    <col min="17" max="17" width="6" customWidth="1"/>
  </cols>
  <sheetData>
    <row r="1" spans="5:10" ht="6" customHeight="1" x14ac:dyDescent="0.25"/>
    <row r="2" spans="5:10" x14ac:dyDescent="0.25">
      <c r="E2" t="s">
        <v>6</v>
      </c>
      <c r="I2" t="str">
        <f>B2&amp;E2&amp;2019</f>
        <v xml:space="preserve">   2019</v>
      </c>
      <c r="J2" t="s">
        <v>6</v>
      </c>
    </row>
    <row r="57" spans="2:22" ht="38.25" customHeight="1" x14ac:dyDescent="0.25"/>
    <row r="58" spans="2:22" ht="12.75" customHeight="1" x14ac:dyDescent="0.25">
      <c r="B58" s="33"/>
      <c r="D58" s="34" t="str">
        <f>'Concentrado octubre'!D2</f>
        <v>Jorge Carrasco</v>
      </c>
      <c r="E58" s="15" t="str">
        <f>'Concentrado octubre'!K2</f>
        <v>Carlos Ponce</v>
      </c>
      <c r="F58" s="33"/>
      <c r="G58" s="32"/>
      <c r="H58" s="16"/>
      <c r="I58" s="22"/>
      <c r="J58" s="22"/>
      <c r="K58" s="22"/>
      <c r="L58" s="22"/>
      <c r="M58" s="22"/>
    </row>
    <row r="59" spans="2:22" x14ac:dyDescent="0.25">
      <c r="B59" s="36"/>
      <c r="D59" s="36"/>
      <c r="E59" s="37"/>
      <c r="F59" s="1"/>
      <c r="G59" s="1"/>
      <c r="H59" s="1"/>
      <c r="I59" s="1"/>
      <c r="M59" s="1"/>
      <c r="P59" s="2"/>
      <c r="Q59" s="2"/>
      <c r="R59" s="2"/>
      <c r="S59" s="2"/>
      <c r="T59" s="2"/>
      <c r="U59" s="2"/>
      <c r="V59" s="2"/>
    </row>
    <row r="60" spans="2:22" x14ac:dyDescent="0.25">
      <c r="C60" t="s">
        <v>13</v>
      </c>
      <c r="D60" s="11" t="s">
        <v>7</v>
      </c>
      <c r="E60" s="60" t="s">
        <v>25</v>
      </c>
      <c r="F60" s="21" t="s">
        <v>10</v>
      </c>
      <c r="G60" s="21" t="s">
        <v>11</v>
      </c>
      <c r="H60" s="10" t="s">
        <v>12</v>
      </c>
      <c r="I60" t="s">
        <v>23</v>
      </c>
      <c r="J60" s="8"/>
      <c r="P60" s="23"/>
      <c r="Q60" s="23"/>
      <c r="R60" s="23"/>
      <c r="S60" s="24"/>
      <c r="T60" s="2"/>
      <c r="U60" s="2"/>
    </row>
    <row r="61" spans="2:22" hidden="1" x14ac:dyDescent="0.25">
      <c r="B61" s="35" t="e">
        <f>1 &amp;#REF!&amp;#REF!&amp;#REF!</f>
        <v>#REF!</v>
      </c>
      <c r="D61" s="11">
        <f>'Concentrado octubre'!E4</f>
        <v>816.37</v>
      </c>
      <c r="E61" s="11">
        <f>'Concentrado octubre'!L4</f>
        <v>842.22</v>
      </c>
      <c r="F61" s="43">
        <f>SUM(Tabla1[[#This Row],[Juan]]+Tabla1[[#This Row],[Columna1]])</f>
        <v>1658.5900000000001</v>
      </c>
      <c r="G61" s="21"/>
      <c r="H61" s="10"/>
      <c r="J61" s="8"/>
      <c r="P61" s="23"/>
      <c r="Q61" s="23"/>
      <c r="R61" s="23"/>
      <c r="S61" s="24"/>
      <c r="T61" s="2"/>
      <c r="U61" s="2"/>
    </row>
    <row r="62" spans="2:22" x14ac:dyDescent="0.25">
      <c r="B62" s="10"/>
      <c r="C62">
        <v>1</v>
      </c>
      <c r="D62" s="11">
        <f>D61</f>
        <v>816.37</v>
      </c>
      <c r="E62" s="11">
        <f>E61</f>
        <v>842.22</v>
      </c>
      <c r="F62" s="43">
        <f>SUM(Tabla1[[#This Row],[Juan]]+Tabla1[[#This Row],[Columna1]])</f>
        <v>1658.5900000000001</v>
      </c>
      <c r="G62" s="43">
        <f>'Concentrado octubre'!AA6</f>
        <v>40000</v>
      </c>
      <c r="H62" s="48">
        <f>'Concentrado octubre'!T7</f>
        <v>80000</v>
      </c>
      <c r="I62" s="41">
        <f>'Concentrado octubre'!T7*0.95</f>
        <v>76000</v>
      </c>
      <c r="J62" s="8" t="s">
        <v>5</v>
      </c>
      <c r="P62" s="25"/>
      <c r="Q62" s="25"/>
      <c r="R62" s="25"/>
      <c r="S62" s="24"/>
      <c r="T62" s="2"/>
      <c r="U62" s="2"/>
    </row>
    <row r="63" spans="2:22" hidden="1" x14ac:dyDescent="0.25">
      <c r="B63" s="35" t="e">
        <f>2&amp;#REF!&amp;#REF!&amp;#REF!</f>
        <v>#REF!</v>
      </c>
      <c r="D63" s="11">
        <f>'Concentrado octubre'!E5</f>
        <v>0.01</v>
      </c>
      <c r="E63" s="11">
        <f>'Concentrado octubre'!L5</f>
        <v>0</v>
      </c>
      <c r="F63" s="43">
        <f>SUM(Tabla1[[#This Row],[Juan]]+Tabla1[[#This Row],[Columna1]])</f>
        <v>0.01</v>
      </c>
      <c r="G63" s="21"/>
      <c r="H63" s="10"/>
      <c r="J63" s="8"/>
      <c r="P63" s="25"/>
      <c r="Q63" s="25"/>
      <c r="R63" s="25"/>
      <c r="S63" s="24"/>
      <c r="T63" s="2"/>
      <c r="U63" s="2"/>
    </row>
    <row r="64" spans="2:22" x14ac:dyDescent="0.25">
      <c r="B64" s="10"/>
      <c r="C64">
        <v>2</v>
      </c>
      <c r="D64" s="11">
        <f>D62+D63</f>
        <v>816.38</v>
      </c>
      <c r="E64" s="11">
        <f>E62+E63</f>
        <v>842.22</v>
      </c>
      <c r="F64" s="43">
        <f>SUM(Tabla1[[#This Row],[Juan]]+Tabla1[[#This Row],[Columna1]])</f>
        <v>1658.6</v>
      </c>
      <c r="G64" s="43">
        <f>G62</f>
        <v>40000</v>
      </c>
      <c r="H64" s="48">
        <f>H62</f>
        <v>80000</v>
      </c>
      <c r="I64" s="41">
        <f>I62</f>
        <v>76000</v>
      </c>
      <c r="J64" s="8"/>
      <c r="P64" s="39"/>
      <c r="Q64" s="25"/>
      <c r="R64" s="25"/>
      <c r="S64" s="24"/>
      <c r="T64" s="2"/>
      <c r="U64" s="2"/>
    </row>
    <row r="65" spans="2:26" hidden="1" x14ac:dyDescent="0.25">
      <c r="B65" s="35" t="e">
        <f>3&amp;#REF!&amp;#REF!&amp;#REF!</f>
        <v>#REF!</v>
      </c>
      <c r="D65" s="11">
        <f>'Concentrado octubre'!E6</f>
        <v>0</v>
      </c>
      <c r="E65" s="11">
        <f>'Concentrado octubre'!L6</f>
        <v>2023.28</v>
      </c>
      <c r="F65" s="43">
        <f>SUM(Tabla1[[#This Row],[Juan]]+Tabla1[[#This Row],[Columna1]])</f>
        <v>2023.28</v>
      </c>
      <c r="G65" s="21"/>
      <c r="H65" s="10"/>
      <c r="J65" s="8"/>
      <c r="P65" s="26"/>
      <c r="Q65" s="26"/>
      <c r="R65" s="26"/>
      <c r="S65" s="24"/>
      <c r="T65" s="2"/>
      <c r="U65" s="2"/>
    </row>
    <row r="66" spans="2:26" x14ac:dyDescent="0.25">
      <c r="B66" s="10"/>
      <c r="C66">
        <v>3</v>
      </c>
      <c r="D66" s="11">
        <f>D64+D65</f>
        <v>816.38</v>
      </c>
      <c r="E66" s="11">
        <f>E64+E65</f>
        <v>2865.5</v>
      </c>
      <c r="F66" s="43">
        <f>SUM(Tabla1[[#This Row],[Juan]]+Tabla1[[#This Row],[Columna1]])</f>
        <v>3681.88</v>
      </c>
      <c r="G66" s="43">
        <f>G64</f>
        <v>40000</v>
      </c>
      <c r="H66" s="48">
        <f>H64</f>
        <v>80000</v>
      </c>
      <c r="I66" s="41">
        <f>I64</f>
        <v>76000</v>
      </c>
      <c r="P66" s="40"/>
      <c r="Q66" s="27"/>
      <c r="R66" s="27"/>
      <c r="S66" s="3"/>
      <c r="T66" s="3"/>
      <c r="U66" s="3"/>
      <c r="V66" s="4"/>
      <c r="W66" s="4"/>
      <c r="X66" s="4"/>
      <c r="Y66" s="4"/>
      <c r="Z66" s="4"/>
    </row>
    <row r="67" spans="2:26" hidden="1" x14ac:dyDescent="0.25">
      <c r="B67" s="35"/>
      <c r="D67" s="11">
        <f>'Concentrado octubre'!E7</f>
        <v>0</v>
      </c>
      <c r="E67" s="11">
        <f>'Concentrado octubre'!L7</f>
        <v>516.38</v>
      </c>
      <c r="F67" s="43">
        <f>SUM(Tabla1[[#This Row],[Juan]]+Tabla1[[#This Row],[Columna1]])</f>
        <v>516.38</v>
      </c>
      <c r="G67" s="21"/>
      <c r="H67" s="10"/>
      <c r="J67" s="8"/>
      <c r="P67" s="20"/>
      <c r="Q67" s="28"/>
      <c r="R67" s="28"/>
      <c r="S67" s="3"/>
      <c r="T67" s="3"/>
      <c r="U67" s="3"/>
      <c r="V67" s="4"/>
      <c r="W67" s="4"/>
      <c r="X67" s="4"/>
      <c r="Y67" s="4"/>
      <c r="Z67" s="4"/>
    </row>
    <row r="68" spans="2:26" x14ac:dyDescent="0.25">
      <c r="B68" s="10"/>
      <c r="C68">
        <v>4</v>
      </c>
      <c r="D68" s="11">
        <f>D66+D67</f>
        <v>816.38</v>
      </c>
      <c r="E68" s="11">
        <f>E66+E67</f>
        <v>3381.88</v>
      </c>
      <c r="F68" s="43">
        <f>SUM(Tabla1[[#This Row],[Juan]]+Tabla1[[#This Row],[Columna1]])</f>
        <v>4198.26</v>
      </c>
      <c r="G68" s="43">
        <f>G66</f>
        <v>40000</v>
      </c>
      <c r="H68" s="48">
        <f>H66</f>
        <v>80000</v>
      </c>
      <c r="I68" s="41">
        <f>I66</f>
        <v>76000</v>
      </c>
      <c r="J68" s="8"/>
      <c r="P68" s="22"/>
      <c r="Q68" s="29"/>
      <c r="R68" s="29"/>
      <c r="S68" s="3"/>
      <c r="T68" s="3"/>
      <c r="U68" s="3"/>
      <c r="V68" s="4"/>
      <c r="W68" s="4"/>
      <c r="X68" s="4"/>
      <c r="Y68" s="4"/>
      <c r="Z68" s="4"/>
    </row>
    <row r="69" spans="2:26" hidden="1" x14ac:dyDescent="0.25">
      <c r="B69" s="35"/>
      <c r="D69" s="11">
        <f>'Concentrado octubre'!E8</f>
        <v>1462.9099999999999</v>
      </c>
      <c r="E69" s="11">
        <f>'Concentrado octubre'!L8</f>
        <v>0</v>
      </c>
      <c r="F69" s="43">
        <f>SUM(Tabla1[[#This Row],[Juan]]+Tabla1[[#This Row],[Columna1]])</f>
        <v>1462.9099999999999</v>
      </c>
      <c r="G69" s="21"/>
      <c r="H69" s="10"/>
      <c r="J69" s="8"/>
      <c r="P69" s="20"/>
      <c r="Q69" s="30"/>
      <c r="R69" s="30"/>
      <c r="S69" s="3"/>
      <c r="T69" s="3"/>
      <c r="U69" s="3"/>
      <c r="V69" s="4"/>
      <c r="W69" s="4"/>
      <c r="X69" s="4"/>
      <c r="Y69" s="4"/>
      <c r="Z69" s="4"/>
    </row>
    <row r="70" spans="2:26" x14ac:dyDescent="0.25">
      <c r="B70" s="10"/>
      <c r="C70">
        <v>5</v>
      </c>
      <c r="D70" s="11">
        <f>D68+D69</f>
        <v>2279.29</v>
      </c>
      <c r="E70" s="11">
        <f>E68+E69</f>
        <v>3381.88</v>
      </c>
      <c r="F70" s="43">
        <f>SUM(Tabla1[[#This Row],[Juan]]+Tabla1[[#This Row],[Columna1]])</f>
        <v>5661.17</v>
      </c>
      <c r="G70" s="43">
        <f>G68</f>
        <v>40000</v>
      </c>
      <c r="H70" s="48">
        <f>H68</f>
        <v>80000</v>
      </c>
      <c r="I70" s="41">
        <f>I68</f>
        <v>76000</v>
      </c>
      <c r="J70" s="8"/>
      <c r="P70" s="22"/>
      <c r="Q70" s="27"/>
      <c r="R70" s="27"/>
      <c r="S70" s="3"/>
      <c r="T70" s="5"/>
      <c r="U70" s="5"/>
      <c r="V70" s="4"/>
      <c r="W70" s="4"/>
      <c r="X70" s="4"/>
      <c r="Y70" s="4"/>
      <c r="Z70" s="4"/>
    </row>
    <row r="71" spans="2:26" hidden="1" x14ac:dyDescent="0.25">
      <c r="B71" s="35"/>
      <c r="D71" s="11">
        <f>'Concentrado octubre'!E9</f>
        <v>4409.3599999999997</v>
      </c>
      <c r="E71" s="11">
        <f>'Concentrado octubre'!L9</f>
        <v>0.01</v>
      </c>
      <c r="F71" s="43">
        <f>SUM(Tabla1[[#This Row],[Juan]]+Tabla1[[#This Row],[Columna1]])</f>
        <v>4409.37</v>
      </c>
      <c r="G71" s="21"/>
      <c r="H71" s="10"/>
      <c r="I71" s="11"/>
      <c r="J71" s="8"/>
      <c r="P71" s="20"/>
      <c r="Q71" s="31"/>
      <c r="R71" s="31"/>
      <c r="S71" s="3"/>
      <c r="T71" s="5"/>
      <c r="U71" s="5"/>
      <c r="V71" s="4"/>
      <c r="W71" s="4"/>
      <c r="X71" s="4"/>
      <c r="Y71" s="4"/>
      <c r="Z71" s="4"/>
    </row>
    <row r="72" spans="2:26" x14ac:dyDescent="0.25">
      <c r="B72" s="10"/>
      <c r="C72">
        <v>6</v>
      </c>
      <c r="D72" s="11">
        <f>D70+D71</f>
        <v>6688.65</v>
      </c>
      <c r="E72" s="11">
        <f>E70+E71</f>
        <v>3381.8900000000003</v>
      </c>
      <c r="F72" s="43">
        <f>SUM(Tabla1[[#This Row],[Juan]]+Tabla1[[#This Row],[Columna1]])</f>
        <v>10070.540000000001</v>
      </c>
      <c r="G72" s="43">
        <f>G70</f>
        <v>40000</v>
      </c>
      <c r="H72" s="48">
        <f>H70</f>
        <v>80000</v>
      </c>
      <c r="I72" s="41">
        <f>I70</f>
        <v>76000</v>
      </c>
      <c r="J72" s="8"/>
      <c r="P72" s="25"/>
      <c r="Q72" s="25"/>
      <c r="R72" s="25"/>
      <c r="S72" s="3"/>
      <c r="T72" s="3"/>
      <c r="U72" s="3"/>
      <c r="V72" s="4"/>
      <c r="W72" s="4"/>
      <c r="X72" s="4"/>
      <c r="Y72" s="4"/>
      <c r="Z72" s="4"/>
    </row>
    <row r="73" spans="2:26" hidden="1" x14ac:dyDescent="0.25">
      <c r="B73" s="35"/>
      <c r="D73" s="11">
        <f>'Concentrado octubre'!E10</f>
        <v>0</v>
      </c>
      <c r="E73" s="11">
        <f>'Concentrado octubre'!L10</f>
        <v>0.01</v>
      </c>
      <c r="F73" s="43">
        <f>SUM(Tabla1[[#This Row],[Juan]]+Tabla1[[#This Row],[Columna1]])</f>
        <v>0.01</v>
      </c>
      <c r="G73" s="21"/>
      <c r="H73" s="10"/>
      <c r="I73" s="11"/>
      <c r="P73" s="25"/>
      <c r="Q73" s="25"/>
      <c r="R73" s="25"/>
      <c r="S73" s="3"/>
      <c r="T73" s="3"/>
      <c r="U73" s="3"/>
      <c r="V73" s="4"/>
      <c r="W73" s="4"/>
      <c r="X73" s="4"/>
      <c r="Y73" s="4"/>
      <c r="Z73" s="4"/>
    </row>
    <row r="74" spans="2:26" x14ac:dyDescent="0.25">
      <c r="B74" s="10"/>
      <c r="C74">
        <v>7</v>
      </c>
      <c r="D74" s="11">
        <f>D72+D73</f>
        <v>6688.65</v>
      </c>
      <c r="E74" s="11">
        <f>E72+E73</f>
        <v>3381.9000000000005</v>
      </c>
      <c r="F74" s="43">
        <f>SUM(Tabla1[[#This Row],[Juan]]+Tabla1[[#This Row],[Columna1]])</f>
        <v>10070.549999999999</v>
      </c>
      <c r="G74" s="43">
        <f>G72</f>
        <v>40000</v>
      </c>
      <c r="H74" s="48">
        <f>H72</f>
        <v>80000</v>
      </c>
      <c r="I74" s="41">
        <f>I72</f>
        <v>76000</v>
      </c>
      <c r="J74" s="8"/>
      <c r="P74" s="25"/>
      <c r="Q74" s="25"/>
      <c r="R74" s="25"/>
      <c r="S74" s="3"/>
      <c r="T74" s="5"/>
      <c r="U74" s="5"/>
      <c r="V74" s="4"/>
      <c r="W74" s="4"/>
      <c r="X74" s="4"/>
      <c r="Y74" s="4"/>
      <c r="Z74" s="4"/>
    </row>
    <row r="75" spans="2:26" hidden="1" x14ac:dyDescent="0.25">
      <c r="B75" s="35"/>
      <c r="D75" s="11">
        <f>'Concentrado octubre'!E11</f>
        <v>0.01</v>
      </c>
      <c r="E75" s="11">
        <f>'Concentrado octubre'!L11</f>
        <v>0</v>
      </c>
      <c r="F75" s="43">
        <f>SUM(Tabla1[[#This Row],[Juan]]+Tabla1[[#This Row],[Columna1]])</f>
        <v>0.01</v>
      </c>
      <c r="G75" s="21"/>
      <c r="H75" s="10"/>
      <c r="I75" s="11"/>
      <c r="J75" s="8"/>
      <c r="P75" s="17"/>
      <c r="Q75" s="17"/>
      <c r="R75" s="17"/>
      <c r="S75" s="3"/>
      <c r="T75" s="5"/>
      <c r="U75" s="5"/>
      <c r="V75" s="4"/>
      <c r="W75" s="4"/>
      <c r="X75" s="4"/>
      <c r="Y75" s="4"/>
      <c r="Z75" s="4"/>
    </row>
    <row r="76" spans="2:26" x14ac:dyDescent="0.25">
      <c r="B76" s="10"/>
      <c r="C76">
        <v>8</v>
      </c>
      <c r="D76" s="11">
        <f>D74+D75</f>
        <v>6688.66</v>
      </c>
      <c r="E76" s="11">
        <f>E74+E75</f>
        <v>3381.9000000000005</v>
      </c>
      <c r="F76" s="43">
        <f>SUM(Tabla1[[#This Row],[Juan]]+Tabla1[[#This Row],[Columna1]])</f>
        <v>10070.560000000001</v>
      </c>
      <c r="G76" s="43">
        <f>G74</f>
        <v>40000</v>
      </c>
      <c r="H76" s="48">
        <f>H74</f>
        <v>80000</v>
      </c>
      <c r="I76" s="41">
        <f>I74</f>
        <v>76000</v>
      </c>
      <c r="J76" s="8"/>
      <c r="P76" s="8"/>
      <c r="Q76" s="8"/>
      <c r="R76" s="8"/>
      <c r="S76" s="4"/>
      <c r="T76" s="3"/>
      <c r="U76" s="3"/>
      <c r="V76" s="4"/>
      <c r="W76" s="4"/>
      <c r="X76" s="4"/>
      <c r="Y76" s="4"/>
      <c r="Z76" s="4"/>
    </row>
    <row r="77" spans="2:26" hidden="1" x14ac:dyDescent="0.25">
      <c r="B77" s="35"/>
      <c r="D77" s="11">
        <f>'Concentrado octubre'!E12</f>
        <v>0</v>
      </c>
      <c r="E77" s="11">
        <f>'Concentrado octubre'!L12</f>
        <v>0</v>
      </c>
      <c r="F77" s="43">
        <f>SUM(Tabla1[[#This Row],[Juan]]+Tabla1[[#This Row],[Columna1]])</f>
        <v>0</v>
      </c>
      <c r="G77" s="21"/>
      <c r="H77" s="10"/>
      <c r="I77" s="11"/>
      <c r="J77" s="8"/>
      <c r="P77" s="8"/>
      <c r="Q77" s="8"/>
      <c r="R77" s="8"/>
      <c r="S77" s="4"/>
      <c r="T77" s="3"/>
      <c r="U77" s="3"/>
      <c r="V77" s="4"/>
      <c r="W77" s="4"/>
      <c r="X77" s="4"/>
      <c r="Y77" s="4"/>
      <c r="Z77" s="4"/>
    </row>
    <row r="78" spans="2:26" x14ac:dyDescent="0.25">
      <c r="B78" s="10"/>
      <c r="C78">
        <v>9</v>
      </c>
      <c r="D78" s="11">
        <f>D76+D77</f>
        <v>6688.66</v>
      </c>
      <c r="E78" s="11">
        <f>E76+E77</f>
        <v>3381.9000000000005</v>
      </c>
      <c r="F78" s="43">
        <f>SUM(Tabla1[[#This Row],[Juan]]+Tabla1[[#This Row],[Columna1]])</f>
        <v>10070.560000000001</v>
      </c>
      <c r="G78" s="43">
        <f>G76</f>
        <v>40000</v>
      </c>
      <c r="H78" s="48">
        <f>H76</f>
        <v>80000</v>
      </c>
      <c r="I78" s="41">
        <f>I76</f>
        <v>76000</v>
      </c>
      <c r="J78" s="8"/>
      <c r="P78" s="10"/>
      <c r="Q78" s="10"/>
      <c r="R78" s="8"/>
      <c r="S78" s="4"/>
      <c r="T78" s="4"/>
      <c r="U78" s="4"/>
      <c r="V78" s="4"/>
      <c r="W78" s="4"/>
      <c r="X78" s="4"/>
      <c r="Y78" s="4"/>
      <c r="Z78" s="4"/>
    </row>
    <row r="79" spans="2:26" hidden="1" x14ac:dyDescent="0.25">
      <c r="B79" s="35"/>
      <c r="D79" s="11">
        <f>'Concentrado octubre'!E13</f>
        <v>516.37</v>
      </c>
      <c r="E79" s="11">
        <f>'Concentrado octubre'!L13</f>
        <v>0</v>
      </c>
      <c r="F79" s="43">
        <f>SUM(Tabla1[[#This Row],[Juan]]+Tabla1[[#This Row],[Columna1]])</f>
        <v>516.37</v>
      </c>
      <c r="G79" s="21"/>
      <c r="H79" s="10"/>
      <c r="I79" s="11"/>
      <c r="J79" s="8"/>
      <c r="P79" s="10"/>
      <c r="Q79" s="10"/>
      <c r="R79" s="8"/>
      <c r="S79" s="4"/>
      <c r="T79" s="4"/>
      <c r="U79" s="4"/>
      <c r="V79" s="4"/>
      <c r="W79" s="4"/>
      <c r="X79" s="4"/>
      <c r="Y79" s="4"/>
      <c r="Z79" s="4"/>
    </row>
    <row r="80" spans="2:26" x14ac:dyDescent="0.25">
      <c r="B80" s="10"/>
      <c r="C80">
        <v>10</v>
      </c>
      <c r="D80" s="11">
        <f>D78+D79</f>
        <v>7205.03</v>
      </c>
      <c r="E80" s="11">
        <f>E78+E79</f>
        <v>3381.9000000000005</v>
      </c>
      <c r="F80" s="43">
        <f>SUM(Tabla1[[#This Row],[Juan]]+Tabla1[[#This Row],[Columna1]])</f>
        <v>10586.93</v>
      </c>
      <c r="G80" s="43">
        <f>G78</f>
        <v>40000</v>
      </c>
      <c r="H80" s="48">
        <f>H78</f>
        <v>80000</v>
      </c>
      <c r="I80" s="41">
        <f>I78</f>
        <v>76000</v>
      </c>
      <c r="P80" s="10"/>
      <c r="Q80" s="10"/>
      <c r="R80" s="8"/>
      <c r="S80" s="4"/>
      <c r="T80" s="4"/>
      <c r="U80" s="4"/>
      <c r="V80" s="4"/>
      <c r="W80" s="4"/>
      <c r="X80" s="4"/>
      <c r="Y80" s="4"/>
      <c r="Z80" s="4"/>
    </row>
    <row r="81" spans="2:37" hidden="1" x14ac:dyDescent="0.25">
      <c r="B81" s="35"/>
      <c r="D81" s="11">
        <f>'Concentrado octubre'!E14</f>
        <v>3025.76</v>
      </c>
      <c r="E81" s="11">
        <f>'Concentrado octubre'!L14</f>
        <v>16622.669999999998</v>
      </c>
      <c r="F81" s="43">
        <f>SUM(Tabla1[[#This Row],[Juan]]+Tabla1[[#This Row],[Columna1]])</f>
        <v>19648.43</v>
      </c>
      <c r="G81" s="21"/>
      <c r="H81" s="10"/>
      <c r="I81" s="11"/>
      <c r="J81" s="8"/>
      <c r="P81" s="10"/>
      <c r="Q81" s="10"/>
      <c r="R81" s="8"/>
      <c r="S81" s="4"/>
      <c r="T81" s="4"/>
      <c r="U81" s="4"/>
      <c r="V81" s="4"/>
      <c r="W81" s="4"/>
      <c r="X81" s="4"/>
      <c r="Y81" s="4"/>
      <c r="Z81" s="4"/>
    </row>
    <row r="82" spans="2:37" x14ac:dyDescent="0.25">
      <c r="B82" s="10"/>
      <c r="C82">
        <v>11</v>
      </c>
      <c r="D82" s="11">
        <f>D80+D81</f>
        <v>10230.790000000001</v>
      </c>
      <c r="E82" s="11">
        <f>E80+E81</f>
        <v>20004.57</v>
      </c>
      <c r="F82" s="43">
        <f>SUM(Tabla1[[#This Row],[Juan]]+Tabla1[[#This Row],[Columna1]])</f>
        <v>30235.360000000001</v>
      </c>
      <c r="G82" s="43">
        <f>G80</f>
        <v>40000</v>
      </c>
      <c r="H82" s="48">
        <f>H80</f>
        <v>80000</v>
      </c>
      <c r="I82" s="41">
        <f>I80</f>
        <v>76000</v>
      </c>
      <c r="J82" s="8"/>
      <c r="P82" s="10"/>
      <c r="Q82" s="10"/>
      <c r="R82" s="8"/>
      <c r="S82" s="4"/>
      <c r="T82" s="4"/>
      <c r="U82" s="4"/>
      <c r="V82" s="4"/>
      <c r="W82" s="4"/>
      <c r="X82" s="4"/>
      <c r="Y82" s="4"/>
      <c r="Z82" s="4"/>
    </row>
    <row r="83" spans="2:37" hidden="1" x14ac:dyDescent="0.25">
      <c r="B83" s="35"/>
      <c r="D83" s="11">
        <f>'Concentrado octubre'!E15</f>
        <v>214.65</v>
      </c>
      <c r="E83" s="11">
        <f>'Concentrado octubre'!L15</f>
        <v>11032.759999999998</v>
      </c>
      <c r="F83" s="43">
        <f>SUM(Tabla1[[#This Row],[Juan]]+Tabla1[[#This Row],[Columna1]])</f>
        <v>11247.409999999998</v>
      </c>
      <c r="G83" s="21"/>
      <c r="H83" s="10"/>
      <c r="I83" s="11"/>
      <c r="J83" s="8"/>
      <c r="P83" s="10"/>
      <c r="Q83" s="10"/>
      <c r="R83" s="8"/>
      <c r="S83" s="4"/>
      <c r="T83" s="4"/>
      <c r="U83" s="4"/>
      <c r="V83" s="4"/>
      <c r="W83" s="4"/>
      <c r="X83" s="4"/>
      <c r="Y83" s="4"/>
      <c r="Z83" s="4"/>
    </row>
    <row r="84" spans="2:37" x14ac:dyDescent="0.25">
      <c r="B84" s="10"/>
      <c r="C84">
        <v>12</v>
      </c>
      <c r="D84" s="11">
        <f>D82+D83</f>
        <v>10445.44</v>
      </c>
      <c r="E84" s="11">
        <f>E82+E83</f>
        <v>31037.329999999998</v>
      </c>
      <c r="F84" s="43">
        <f>SUM(Tabla1[[#This Row],[Juan]]+Tabla1[[#This Row],[Columna1]])</f>
        <v>41482.769999999997</v>
      </c>
      <c r="G84" s="43">
        <f>G82</f>
        <v>40000</v>
      </c>
      <c r="H84" s="48">
        <f>H82</f>
        <v>80000</v>
      </c>
      <c r="I84" s="41">
        <f>I82</f>
        <v>76000</v>
      </c>
      <c r="J84" s="8"/>
      <c r="P84" s="10"/>
      <c r="Q84" s="10"/>
      <c r="R84" s="8"/>
      <c r="S84" s="4"/>
      <c r="T84" s="4"/>
      <c r="U84" s="4"/>
      <c r="V84" s="4"/>
      <c r="W84" s="4"/>
      <c r="X84" s="4"/>
      <c r="Y84" s="4"/>
      <c r="Z84" s="4"/>
    </row>
    <row r="85" spans="2:37" hidden="1" x14ac:dyDescent="0.25">
      <c r="B85" s="35"/>
      <c r="D85" s="11">
        <f>'Concentrado octubre'!E16</f>
        <v>730.16</v>
      </c>
      <c r="E85" s="11">
        <f>'Concentrado octubre'!L16</f>
        <v>0</v>
      </c>
      <c r="F85" s="43">
        <f>SUM(Tabla1[[#This Row],[Juan]]+Tabla1[[#This Row],[Columna1]])</f>
        <v>730.16</v>
      </c>
      <c r="G85" s="21"/>
      <c r="H85" s="10"/>
      <c r="I85" s="11"/>
      <c r="J85" s="8"/>
      <c r="P85" s="10"/>
      <c r="Q85" s="10"/>
      <c r="R85" s="8"/>
      <c r="S85" s="4"/>
      <c r="T85" s="4"/>
      <c r="U85" s="4"/>
      <c r="V85" s="4"/>
      <c r="W85" s="4"/>
      <c r="X85" s="4"/>
      <c r="Y85" s="4"/>
      <c r="Z85" s="4"/>
    </row>
    <row r="86" spans="2:37" x14ac:dyDescent="0.25">
      <c r="B86" s="10"/>
      <c r="C86">
        <v>13</v>
      </c>
      <c r="D86" s="11">
        <f>D84+D85</f>
        <v>11175.6</v>
      </c>
      <c r="E86" s="11">
        <f>E84+E85</f>
        <v>31037.329999999998</v>
      </c>
      <c r="F86" s="43">
        <f>SUM(Tabla1[[#This Row],[Juan]]+Tabla1[[#This Row],[Columna1]])</f>
        <v>42212.93</v>
      </c>
      <c r="G86" s="43">
        <f>G84</f>
        <v>40000</v>
      </c>
      <c r="H86" s="48">
        <f>H84</f>
        <v>80000</v>
      </c>
      <c r="I86" s="41">
        <f>I84</f>
        <v>76000</v>
      </c>
      <c r="J86" s="8"/>
      <c r="P86" s="10"/>
      <c r="Q86" s="10"/>
      <c r="R86" s="8"/>
      <c r="S86" s="4"/>
      <c r="T86" s="4"/>
      <c r="U86" s="4"/>
      <c r="V86" s="4"/>
      <c r="W86" s="4"/>
      <c r="X86" s="4"/>
      <c r="Y86" s="4"/>
      <c r="Z86" s="4"/>
    </row>
    <row r="87" spans="2:37" hidden="1" x14ac:dyDescent="0.25">
      <c r="B87" s="35"/>
      <c r="D87" s="11">
        <f>'Concentrado octubre'!E17</f>
        <v>343.1</v>
      </c>
      <c r="E87" s="11">
        <f>'Concentrado octubre'!L17</f>
        <v>0.01</v>
      </c>
      <c r="F87" s="43">
        <f>SUM(Tabla1[[#This Row],[Juan]]+Tabla1[[#This Row],[Columna1]])</f>
        <v>343.11</v>
      </c>
      <c r="G87" s="21"/>
      <c r="H87" s="10"/>
      <c r="I87" s="11"/>
      <c r="P87" s="10"/>
      <c r="Q87" s="10"/>
      <c r="R87" s="8"/>
      <c r="S87" s="4"/>
      <c r="T87" s="4"/>
      <c r="U87" s="4"/>
      <c r="V87" s="4"/>
      <c r="W87" s="4"/>
      <c r="X87" s="4"/>
      <c r="Y87" s="4"/>
      <c r="Z87" s="4"/>
    </row>
    <row r="88" spans="2:37" x14ac:dyDescent="0.25">
      <c r="B88" s="10"/>
      <c r="C88">
        <v>14</v>
      </c>
      <c r="D88" s="11">
        <f>D86+D87</f>
        <v>11518.7</v>
      </c>
      <c r="E88" s="11">
        <f>E86+E87</f>
        <v>31037.339999999997</v>
      </c>
      <c r="F88" s="43">
        <f>SUM(Tabla1[[#This Row],[Juan]]+Tabla1[[#This Row],[Columna1]])</f>
        <v>42556.039999999994</v>
      </c>
      <c r="G88" s="43">
        <f>G86</f>
        <v>40000</v>
      </c>
      <c r="H88" s="48">
        <f>H86</f>
        <v>80000</v>
      </c>
      <c r="I88" s="41">
        <f>I86</f>
        <v>76000</v>
      </c>
      <c r="J88" s="8"/>
      <c r="P88" s="10"/>
      <c r="Q88" s="10"/>
      <c r="R88" s="8"/>
      <c r="S88" s="4"/>
      <c r="T88" s="4"/>
      <c r="U88" s="4"/>
      <c r="V88" s="4"/>
      <c r="W88" s="4"/>
      <c r="X88" s="4"/>
      <c r="Y88" s="4"/>
      <c r="Z88" s="4"/>
    </row>
    <row r="89" spans="2:37" hidden="1" x14ac:dyDescent="0.25">
      <c r="B89" s="35"/>
      <c r="D89" s="11">
        <f>'Concentrado octubre'!E18</f>
        <v>0.01</v>
      </c>
      <c r="E89" s="11">
        <f>'Concentrado octubre'!L18</f>
        <v>3543.79</v>
      </c>
      <c r="F89" s="43">
        <f>SUM(Tabla1[[#This Row],[Juan]]+Tabla1[[#This Row],[Columna1]])</f>
        <v>3543.8</v>
      </c>
      <c r="G89" s="21"/>
      <c r="H89" s="10"/>
      <c r="I89" s="11"/>
      <c r="J89" s="8"/>
      <c r="P89" s="10"/>
      <c r="Q89" s="10"/>
      <c r="R89" s="8"/>
      <c r="S89" s="4"/>
      <c r="T89" s="4"/>
      <c r="U89" s="4"/>
      <c r="V89" s="4"/>
      <c r="W89" s="4"/>
      <c r="X89" s="4"/>
      <c r="Y89" s="4"/>
      <c r="Z89" s="4"/>
    </row>
    <row r="90" spans="2:37" x14ac:dyDescent="0.25">
      <c r="B90" s="10"/>
      <c r="C90">
        <v>15</v>
      </c>
      <c r="D90" s="11">
        <f>D88+D89</f>
        <v>11518.710000000001</v>
      </c>
      <c r="E90" s="11">
        <f>E88+E89</f>
        <v>34581.129999999997</v>
      </c>
      <c r="F90" s="43">
        <f>SUM(Tabla1[[#This Row],[Juan]]+Tabla1[[#This Row],[Columna1]])</f>
        <v>46099.839999999997</v>
      </c>
      <c r="G90" s="43">
        <f>G88</f>
        <v>40000</v>
      </c>
      <c r="H90" s="48">
        <f>H88</f>
        <v>80000</v>
      </c>
      <c r="I90" s="41">
        <f>I88</f>
        <v>76000</v>
      </c>
      <c r="J90" s="8"/>
      <c r="P90" s="10"/>
      <c r="Q90" s="10"/>
      <c r="R90" s="8"/>
      <c r="S90" s="4"/>
      <c r="T90" s="4"/>
      <c r="U90" s="4"/>
      <c r="V90" s="4"/>
      <c r="W90" s="4"/>
      <c r="X90" s="4"/>
      <c r="Y90" s="4"/>
      <c r="Z90" s="4"/>
    </row>
    <row r="91" spans="2:37" hidden="1" x14ac:dyDescent="0.25">
      <c r="B91" s="35"/>
      <c r="D91" s="11">
        <f>'Concentrado octubre'!H4</f>
        <v>0</v>
      </c>
      <c r="E91" s="11">
        <f>'Concentrado octubre'!O4</f>
        <v>0</v>
      </c>
      <c r="F91" s="43">
        <f>SUM(Tabla1[[#This Row],[Juan]]+Tabla1[[#This Row],[Columna1]])</f>
        <v>0</v>
      </c>
      <c r="G91" s="21"/>
      <c r="H91" s="10"/>
      <c r="I91" s="11"/>
      <c r="J91" s="8"/>
      <c r="P91" s="10"/>
      <c r="Q91" s="10"/>
      <c r="R91" s="8"/>
      <c r="S91" s="4"/>
      <c r="T91" s="4"/>
      <c r="U91" s="4"/>
      <c r="V91" s="4"/>
      <c r="W91" s="4"/>
      <c r="X91" s="4"/>
      <c r="Y91" s="4"/>
      <c r="Z91" s="4"/>
    </row>
    <row r="92" spans="2:37" x14ac:dyDescent="0.25">
      <c r="B92" s="10"/>
      <c r="C92">
        <v>16</v>
      </c>
      <c r="D92" s="11">
        <f>D90+D91</f>
        <v>11518.710000000001</v>
      </c>
      <c r="E92" s="11">
        <f>E90+E91</f>
        <v>34581.129999999997</v>
      </c>
      <c r="F92" s="43">
        <f>SUM(Tabla1[[#This Row],[Juan]]+Tabla1[[#This Row],[Columna1]])</f>
        <v>46099.839999999997</v>
      </c>
      <c r="G92" s="43">
        <f>G90</f>
        <v>40000</v>
      </c>
      <c r="H92" s="48">
        <f>H90</f>
        <v>80000</v>
      </c>
      <c r="I92" s="41">
        <f>I90</f>
        <v>76000</v>
      </c>
      <c r="J92" s="8"/>
      <c r="P92" s="10"/>
      <c r="Q92" s="10"/>
      <c r="R92" s="8"/>
      <c r="S92" s="4"/>
      <c r="T92" s="4"/>
      <c r="U92" s="4"/>
      <c r="V92" s="4"/>
      <c r="W92" s="4"/>
      <c r="X92" s="4"/>
      <c r="Y92" s="4"/>
      <c r="Z92" s="4"/>
    </row>
    <row r="93" spans="2:37" hidden="1" x14ac:dyDescent="0.25">
      <c r="B93" s="35"/>
      <c r="D93" s="11">
        <f>'Concentrado octubre'!H5</f>
        <v>0</v>
      </c>
      <c r="E93" s="11">
        <f>'Concentrado octubre'!O5</f>
        <v>3735.27</v>
      </c>
      <c r="F93" s="43">
        <f>SUM(Tabla1[[#This Row],[Juan]]+Tabla1[[#This Row],[Columna1]])</f>
        <v>3735.27</v>
      </c>
      <c r="G93" s="21"/>
      <c r="H93" s="10"/>
      <c r="I93" s="11"/>
      <c r="J93" s="8"/>
      <c r="P93" s="10"/>
      <c r="Q93" s="10"/>
      <c r="R93" s="8"/>
      <c r="S93" s="4"/>
      <c r="T93" s="4"/>
      <c r="U93" s="4"/>
      <c r="V93" s="4"/>
      <c r="W93" s="4"/>
      <c r="X93" s="4"/>
      <c r="Y93" s="4"/>
      <c r="Z93" s="4"/>
    </row>
    <row r="94" spans="2:37" x14ac:dyDescent="0.25">
      <c r="B94" s="10"/>
      <c r="C94">
        <v>17</v>
      </c>
      <c r="D94" s="11">
        <f>D92+D93</f>
        <v>11518.710000000001</v>
      </c>
      <c r="E94" s="11">
        <f>E92+E93</f>
        <v>38316.399999999994</v>
      </c>
      <c r="F94" s="43">
        <f>SUM(Tabla1[[#This Row],[Juan]]+Tabla1[[#This Row],[Columna1]])</f>
        <v>49835.109999999993</v>
      </c>
      <c r="G94" s="43">
        <f>G92</f>
        <v>40000</v>
      </c>
      <c r="H94" s="48">
        <f>H92</f>
        <v>80000</v>
      </c>
      <c r="I94" s="41">
        <f>I92</f>
        <v>76000</v>
      </c>
      <c r="J94" s="8"/>
      <c r="P94" s="8"/>
      <c r="Q94" s="8"/>
      <c r="R94" s="8"/>
      <c r="T94" s="4"/>
      <c r="U94" s="4"/>
      <c r="V94" s="4"/>
      <c r="W94" s="4"/>
      <c r="Z94" s="89" t="s">
        <v>1</v>
      </c>
      <c r="AA94" s="89"/>
      <c r="AB94" s="89"/>
      <c r="AC94" s="130">
        <f>SUM(D61:D89,D91:D121)</f>
        <v>313602.16000000009</v>
      </c>
      <c r="AD94" s="130"/>
      <c r="AE94" s="8"/>
      <c r="AF94" s="8"/>
      <c r="AG94" s="89" t="s">
        <v>1</v>
      </c>
      <c r="AH94" s="89"/>
      <c r="AI94" s="89"/>
      <c r="AJ94" s="130">
        <f>SUM(I60:I88,I90:I120)</f>
        <v>2280000</v>
      </c>
      <c r="AK94" s="130"/>
    </row>
    <row r="95" spans="2:37" hidden="1" x14ac:dyDescent="0.25">
      <c r="B95" s="35"/>
      <c r="D95" s="11">
        <f>'Concentrado octubre'!H6</f>
        <v>1901.58</v>
      </c>
      <c r="E95" s="11">
        <f>'Concentrado octubre'!O6</f>
        <v>0</v>
      </c>
      <c r="F95" s="43">
        <f>SUM(Tabla1[[#This Row],[Juan]]+Tabla1[[#This Row],[Columna1]])</f>
        <v>1901.58</v>
      </c>
      <c r="G95" s="21"/>
      <c r="H95" s="21"/>
      <c r="I95" s="11"/>
      <c r="J95" s="8"/>
      <c r="P95" s="8"/>
      <c r="Q95" s="8"/>
      <c r="R95" s="8"/>
      <c r="T95" s="4"/>
      <c r="U95" s="4"/>
      <c r="V95" s="4"/>
      <c r="W95" s="4"/>
      <c r="Z95" s="14"/>
      <c r="AA95" s="14"/>
      <c r="AB95" s="14"/>
      <c r="AC95" s="12"/>
      <c r="AD95" s="12"/>
      <c r="AE95" s="8"/>
      <c r="AF95" s="8"/>
      <c r="AG95" s="14"/>
      <c r="AH95" s="14"/>
      <c r="AI95" s="14"/>
      <c r="AJ95" s="12"/>
      <c r="AK95" s="12"/>
    </row>
    <row r="96" spans="2:37" x14ac:dyDescent="0.25">
      <c r="B96" s="10"/>
      <c r="C96">
        <v>18</v>
      </c>
      <c r="D96" s="11">
        <f>D94+D95</f>
        <v>13420.29</v>
      </c>
      <c r="E96" s="11">
        <f>E94+E95</f>
        <v>38316.399999999994</v>
      </c>
      <c r="F96" s="43">
        <f>SUM(Tabla1[[#This Row],[Juan]]+Tabla1[[#This Row],[Columna1]])</f>
        <v>51736.689999999995</v>
      </c>
      <c r="G96" s="43">
        <f>G94</f>
        <v>40000</v>
      </c>
      <c r="H96" s="48">
        <f>H94</f>
        <v>80000</v>
      </c>
      <c r="I96" s="41">
        <f>I94</f>
        <v>76000</v>
      </c>
      <c r="J96" s="8"/>
      <c r="P96" s="8"/>
      <c r="Q96" s="8"/>
      <c r="R96" s="8"/>
      <c r="Z96" s="89" t="s">
        <v>3</v>
      </c>
      <c r="AA96" s="89"/>
      <c r="AB96" s="89"/>
      <c r="AC96" s="122">
        <f>AC94/44000</f>
        <v>7.1273218181818203</v>
      </c>
      <c r="AD96" s="122"/>
      <c r="AE96" s="8"/>
      <c r="AF96" s="8"/>
      <c r="AG96" s="89" t="s">
        <v>3</v>
      </c>
      <c r="AH96" s="89"/>
      <c r="AI96" s="89"/>
      <c r="AJ96" s="122">
        <f>AJ94/44000</f>
        <v>51.81818181818182</v>
      </c>
      <c r="AK96" s="122"/>
    </row>
    <row r="97" spans="2:37" hidden="1" x14ac:dyDescent="0.25">
      <c r="B97" s="35"/>
      <c r="D97" s="11">
        <f>'Concentrado octubre'!H7</f>
        <v>0</v>
      </c>
      <c r="E97" s="11">
        <f>'Concentrado octubre'!O7</f>
        <v>343.97</v>
      </c>
      <c r="F97" s="43">
        <f>SUM(Tabla1[[#This Row],[Juan]]+Tabla1[[#This Row],[Columna1]])</f>
        <v>343.97</v>
      </c>
      <c r="G97" s="21"/>
      <c r="H97" s="21"/>
      <c r="I97" s="11"/>
      <c r="J97" s="8"/>
      <c r="P97" s="8"/>
      <c r="Q97" s="8"/>
      <c r="R97" s="8"/>
      <c r="Z97" s="14"/>
      <c r="AA97" s="14"/>
      <c r="AB97" s="14"/>
      <c r="AC97" s="13"/>
      <c r="AD97" s="13"/>
      <c r="AE97" s="8"/>
      <c r="AF97" s="8"/>
      <c r="AG97" s="14"/>
      <c r="AH97" s="14"/>
      <c r="AI97" s="14"/>
      <c r="AJ97" s="13"/>
      <c r="AK97" s="13"/>
    </row>
    <row r="98" spans="2:37" x14ac:dyDescent="0.25">
      <c r="B98" s="10"/>
      <c r="C98">
        <v>19</v>
      </c>
      <c r="D98" s="11">
        <f>D96+D97</f>
        <v>13420.29</v>
      </c>
      <c r="E98" s="11">
        <f>E96+E97</f>
        <v>38660.369999999995</v>
      </c>
      <c r="F98" s="43">
        <f>SUM(Tabla1[[#This Row],[Juan]]+Tabla1[[#This Row],[Columna1]])</f>
        <v>52080.659999999996</v>
      </c>
      <c r="G98" s="43">
        <f>G96</f>
        <v>40000</v>
      </c>
      <c r="H98" s="48">
        <f>H96</f>
        <v>80000</v>
      </c>
      <c r="I98" s="41">
        <f>I96</f>
        <v>76000</v>
      </c>
      <c r="J98" s="8"/>
      <c r="Z98" s="89" t="s">
        <v>2</v>
      </c>
      <c r="AA98" s="89"/>
      <c r="AB98" s="89"/>
      <c r="AC98" s="129">
        <f>44000-AC94</f>
        <v>-269602.16000000009</v>
      </c>
      <c r="AD98" s="129"/>
      <c r="AE98" s="8"/>
      <c r="AF98" s="8"/>
      <c r="AG98" s="89" t="s">
        <v>2</v>
      </c>
      <c r="AH98" s="89"/>
      <c r="AI98" s="89"/>
      <c r="AJ98" s="129">
        <f>44000-AJ94</f>
        <v>-2236000</v>
      </c>
      <c r="AK98" s="129"/>
    </row>
    <row r="99" spans="2:37" hidden="1" x14ac:dyDescent="0.25">
      <c r="B99" s="35"/>
      <c r="D99" s="11">
        <f>'Concentrado octubre'!H9</f>
        <v>0</v>
      </c>
      <c r="E99" s="11">
        <f>'Concentrado octubre'!O8</f>
        <v>731.89</v>
      </c>
      <c r="F99" s="43">
        <f>SUM(Tabla1[[#This Row],[Juan]]+Tabla1[[#This Row],[Columna1]])</f>
        <v>731.89</v>
      </c>
      <c r="G99" s="21"/>
      <c r="H99" s="21"/>
      <c r="I99" s="11"/>
      <c r="J99" s="8"/>
      <c r="Z99" s="18"/>
      <c r="AA99" s="18"/>
      <c r="AB99" s="18"/>
      <c r="AC99" s="19"/>
      <c r="AD99" s="19"/>
      <c r="AE99" s="8"/>
      <c r="AF99" s="8"/>
      <c r="AG99" s="18"/>
      <c r="AH99" s="18"/>
      <c r="AI99" s="18"/>
      <c r="AJ99" s="19"/>
      <c r="AK99" s="19"/>
    </row>
    <row r="100" spans="2:37" x14ac:dyDescent="0.25">
      <c r="B100" s="10"/>
      <c r="C100">
        <v>20</v>
      </c>
      <c r="D100" s="11">
        <f>D98+D99</f>
        <v>13420.29</v>
      </c>
      <c r="E100" s="11">
        <f>E98+E99</f>
        <v>39392.259999999995</v>
      </c>
      <c r="F100" s="43">
        <f>SUM(Tabla1[[#This Row],[Juan]]+Tabla1[[#This Row],[Columna1]])</f>
        <v>52812.549999999996</v>
      </c>
      <c r="G100" s="43">
        <f>G98</f>
        <v>40000</v>
      </c>
      <c r="H100" s="48">
        <f>H98</f>
        <v>80000</v>
      </c>
      <c r="I100" s="41">
        <f>I98</f>
        <v>76000</v>
      </c>
      <c r="J100" s="8"/>
    </row>
    <row r="101" spans="2:37" hidden="1" x14ac:dyDescent="0.25">
      <c r="B101" s="35"/>
      <c r="D101" s="11">
        <f>'Concentrado octubre'!H9</f>
        <v>0</v>
      </c>
      <c r="E101" s="11">
        <f>'Concentrado octubre'!O9</f>
        <v>2824.14</v>
      </c>
      <c r="F101" s="43">
        <f>SUM(Tabla1[[#This Row],[Juan]]+Tabla1[[#This Row],[Columna1]])</f>
        <v>2824.14</v>
      </c>
      <c r="G101" s="21"/>
      <c r="H101" s="21"/>
      <c r="I101" s="11"/>
      <c r="J101" s="8"/>
    </row>
    <row r="102" spans="2:37" x14ac:dyDescent="0.25">
      <c r="B102" s="10"/>
      <c r="C102">
        <v>21</v>
      </c>
      <c r="D102" s="11">
        <f>D100+D101</f>
        <v>13420.29</v>
      </c>
      <c r="E102" s="11">
        <f>E100+E101</f>
        <v>42216.399999999994</v>
      </c>
      <c r="F102" s="43">
        <f>SUM(Tabla1[[#This Row],[Juan]]+Tabla1[[#This Row],[Columna1]])</f>
        <v>55636.689999999995</v>
      </c>
      <c r="G102" s="43">
        <f>G100</f>
        <v>40000</v>
      </c>
      <c r="H102" s="48">
        <f>H100</f>
        <v>80000</v>
      </c>
      <c r="I102" s="41">
        <f>I100</f>
        <v>76000</v>
      </c>
      <c r="J102" s="8"/>
    </row>
    <row r="103" spans="2:37" hidden="1" x14ac:dyDescent="0.25">
      <c r="B103" s="35"/>
      <c r="D103" s="11">
        <f>'Concentrado octubre'!H10</f>
        <v>0.01</v>
      </c>
      <c r="E103" s="11">
        <f>'Concentrado octubre'!O10</f>
        <v>2437.9299999999998</v>
      </c>
      <c r="F103" s="43">
        <f>SUM(Tabla1[[#This Row],[Juan]]+Tabla1[[#This Row],[Columna1]])</f>
        <v>2437.94</v>
      </c>
      <c r="G103" s="21"/>
      <c r="H103" s="21"/>
      <c r="I103" s="11"/>
      <c r="J103" s="8"/>
    </row>
    <row r="104" spans="2:37" x14ac:dyDescent="0.25">
      <c r="B104" s="10"/>
      <c r="C104">
        <v>22</v>
      </c>
      <c r="D104" s="11">
        <f>D102+D103</f>
        <v>13420.300000000001</v>
      </c>
      <c r="E104" s="11">
        <f>E102+E103</f>
        <v>44654.329999999994</v>
      </c>
      <c r="F104" s="43">
        <f>SUM(Tabla1[[#This Row],[Juan]]+Tabla1[[#This Row],[Columna1]])</f>
        <v>58074.63</v>
      </c>
      <c r="G104" s="43">
        <f>G102</f>
        <v>40000</v>
      </c>
      <c r="H104" s="48">
        <f>H102</f>
        <v>80000</v>
      </c>
      <c r="I104" s="41">
        <f>I102</f>
        <v>76000</v>
      </c>
      <c r="J104" s="8"/>
    </row>
    <row r="105" spans="2:37" hidden="1" x14ac:dyDescent="0.25">
      <c r="B105" s="35"/>
      <c r="D105" s="11">
        <f>'Concentrado octubre'!H11</f>
        <v>861.2</v>
      </c>
      <c r="E105" s="11">
        <f>'Concentrado octubre'!O11</f>
        <v>0.01</v>
      </c>
      <c r="F105" s="43">
        <f>SUM(Tabla1[[#This Row],[Juan]]+Tabla1[[#This Row],[Columna1]])</f>
        <v>861.21</v>
      </c>
      <c r="G105" s="21"/>
      <c r="H105" s="21"/>
      <c r="I105" s="11"/>
      <c r="J105" s="8"/>
    </row>
    <row r="106" spans="2:37" x14ac:dyDescent="0.25">
      <c r="B106" s="10"/>
      <c r="C106">
        <v>23</v>
      </c>
      <c r="D106" s="11">
        <f>D104+D105</f>
        <v>14281.500000000002</v>
      </c>
      <c r="E106" s="11">
        <f>E104+E105</f>
        <v>44654.34</v>
      </c>
      <c r="F106" s="43">
        <f>SUM(Tabla1[[#This Row],[Juan]]+Tabla1[[#This Row],[Columna1]])</f>
        <v>58935.839999999997</v>
      </c>
      <c r="G106" s="43">
        <f>G104</f>
        <v>40000</v>
      </c>
      <c r="H106" s="48">
        <f>H104</f>
        <v>80000</v>
      </c>
      <c r="I106" s="41">
        <f>I104</f>
        <v>76000</v>
      </c>
      <c r="J106" s="8"/>
    </row>
    <row r="107" spans="2:37" hidden="1" x14ac:dyDescent="0.25">
      <c r="B107" s="35"/>
      <c r="D107" s="11">
        <f>'Concentrado octubre'!H12</f>
        <v>0</v>
      </c>
      <c r="E107" s="11">
        <f>'Concentrado octubre'!O12</f>
        <v>0</v>
      </c>
      <c r="F107" s="43">
        <f>SUM(Tabla1[[#This Row],[Juan]]+Tabla1[[#This Row],[Columna1]])</f>
        <v>0</v>
      </c>
      <c r="G107" s="21"/>
      <c r="H107" s="21"/>
      <c r="I107" s="11"/>
      <c r="J107" s="8"/>
    </row>
    <row r="108" spans="2:37" x14ac:dyDescent="0.25">
      <c r="B108" s="10"/>
      <c r="C108">
        <v>24</v>
      </c>
      <c r="D108" s="11">
        <f>D106+D107</f>
        <v>14281.500000000002</v>
      </c>
      <c r="E108" s="11">
        <f>E106+E107</f>
        <v>44654.34</v>
      </c>
      <c r="F108" s="43">
        <f>SUM(Tabla1[[#This Row],[Juan]]+Tabla1[[#This Row],[Columna1]])</f>
        <v>58935.839999999997</v>
      </c>
      <c r="G108" s="43">
        <f>G106</f>
        <v>40000</v>
      </c>
      <c r="H108" s="48">
        <f>H106</f>
        <v>80000</v>
      </c>
      <c r="I108" s="41">
        <f>I106</f>
        <v>76000</v>
      </c>
      <c r="J108" s="8"/>
    </row>
    <row r="109" spans="2:37" hidden="1" x14ac:dyDescent="0.25">
      <c r="B109" s="35"/>
      <c r="D109" s="11">
        <f>'Concentrado octubre'!H13</f>
        <v>300</v>
      </c>
      <c r="E109" s="11">
        <f>'Concentrado octubre'!O13</f>
        <v>2119.13</v>
      </c>
      <c r="F109" s="43">
        <f>SUM(Tabla1[[#This Row],[Juan]]+Tabla1[[#This Row],[Columna1]])</f>
        <v>2419.13</v>
      </c>
      <c r="G109" s="21"/>
      <c r="H109" s="21"/>
      <c r="I109" s="11"/>
      <c r="J109" s="8"/>
    </row>
    <row r="110" spans="2:37" x14ac:dyDescent="0.25">
      <c r="B110" s="10"/>
      <c r="C110">
        <v>25</v>
      </c>
      <c r="D110" s="11">
        <f>D108+D109</f>
        <v>14581.500000000002</v>
      </c>
      <c r="E110" s="11">
        <f>E108+E109</f>
        <v>46773.469999999994</v>
      </c>
      <c r="F110" s="43">
        <f>SUM(Tabla1[[#This Row],[Juan]]+Tabla1[[#This Row],[Columna1]])</f>
        <v>61354.969999999994</v>
      </c>
      <c r="G110" s="43">
        <f>G108</f>
        <v>40000</v>
      </c>
      <c r="H110" s="48">
        <f>H108</f>
        <v>80000</v>
      </c>
      <c r="I110" s="41">
        <f>I108</f>
        <v>76000</v>
      </c>
      <c r="J110" s="8"/>
    </row>
    <row r="111" spans="2:37" hidden="1" x14ac:dyDescent="0.25">
      <c r="B111" s="35"/>
      <c r="D111" s="11">
        <f>'Concentrado octubre'!H14</f>
        <v>0</v>
      </c>
      <c r="E111" s="11">
        <f>'Concentrado octubre'!O14</f>
        <v>673.64</v>
      </c>
      <c r="F111" s="43">
        <f>SUM(Tabla1[[#This Row],[Juan]]+Tabla1[[#This Row],[Columna1]])</f>
        <v>673.64</v>
      </c>
      <c r="G111" s="21"/>
      <c r="H111" s="21"/>
      <c r="I111" s="11"/>
      <c r="J111" s="8"/>
    </row>
    <row r="112" spans="2:37" x14ac:dyDescent="0.25">
      <c r="B112" s="10"/>
      <c r="C112">
        <v>26</v>
      </c>
      <c r="D112" s="11">
        <f>D110+D111</f>
        <v>14581.500000000002</v>
      </c>
      <c r="E112" s="11">
        <f>E110+E111</f>
        <v>47447.109999999993</v>
      </c>
      <c r="F112" s="43">
        <f>SUM(Tabla1[[#This Row],[Juan]]+Tabla1[[#This Row],[Columna1]])</f>
        <v>62028.609999999993</v>
      </c>
      <c r="G112" s="43">
        <f>G110</f>
        <v>40000</v>
      </c>
      <c r="H112" s="48">
        <f>H110</f>
        <v>80000</v>
      </c>
      <c r="I112" s="41">
        <f>I110</f>
        <v>76000</v>
      </c>
      <c r="J112" s="8"/>
    </row>
    <row r="113" spans="2:11" hidden="1" x14ac:dyDescent="0.25">
      <c r="B113" s="35"/>
      <c r="D113" s="11">
        <f>'Concentrado octubre'!H15</f>
        <v>1461.1799999999998</v>
      </c>
      <c r="E113" s="11">
        <f>'Concentrado octubre'!O15</f>
        <v>0</v>
      </c>
      <c r="F113" s="43">
        <f>SUM(Tabla1[[#This Row],[Juan]]+Tabla1[[#This Row],[Columna1]])</f>
        <v>1461.1799999999998</v>
      </c>
      <c r="G113" s="21"/>
      <c r="H113" s="21"/>
      <c r="I113" s="11"/>
      <c r="J113" s="8"/>
    </row>
    <row r="114" spans="2:11" x14ac:dyDescent="0.25">
      <c r="B114" s="10"/>
      <c r="C114">
        <v>27</v>
      </c>
      <c r="D114" s="11">
        <f>D112+D113</f>
        <v>16042.680000000002</v>
      </c>
      <c r="E114" s="11">
        <f>E112+E113</f>
        <v>47447.109999999993</v>
      </c>
      <c r="F114" s="43">
        <f>SUM(Tabla1[[#This Row],[Juan]]+Tabla1[[#This Row],[Columna1]])</f>
        <v>63489.789999999994</v>
      </c>
      <c r="G114" s="43">
        <f>G112</f>
        <v>40000</v>
      </c>
      <c r="H114" s="48">
        <f>H112</f>
        <v>80000</v>
      </c>
      <c r="I114" s="41">
        <f>I112</f>
        <v>76000</v>
      </c>
      <c r="J114" s="8"/>
    </row>
    <row r="115" spans="2:11" hidden="1" x14ac:dyDescent="0.25">
      <c r="B115" s="35"/>
      <c r="D115" s="11">
        <f>'Concentrado octubre'!H16</f>
        <v>0</v>
      </c>
      <c r="E115" s="11">
        <f>'Concentrado octubre'!O16</f>
        <v>0.01</v>
      </c>
      <c r="F115" s="43">
        <f>SUM(Tabla1[[#This Row],[Juan]]+Tabla1[[#This Row],[Columna1]])</f>
        <v>0.01</v>
      </c>
      <c r="G115" s="21"/>
      <c r="H115" s="21"/>
      <c r="I115" s="11"/>
      <c r="J115" s="8"/>
    </row>
    <row r="116" spans="2:11" x14ac:dyDescent="0.25">
      <c r="B116" s="10"/>
      <c r="C116">
        <v>28</v>
      </c>
      <c r="D116" s="11">
        <f>D114+D115</f>
        <v>16042.680000000002</v>
      </c>
      <c r="E116" s="11">
        <f>E114+E115</f>
        <v>47447.119999999995</v>
      </c>
      <c r="F116" s="43">
        <f>SUM(Tabla1[[#This Row],[Juan]]+Tabla1[[#This Row],[Columna1]])</f>
        <v>63489.799999999996</v>
      </c>
      <c r="G116" s="43">
        <f>G114</f>
        <v>40000</v>
      </c>
      <c r="H116" s="48">
        <f>H114</f>
        <v>80000</v>
      </c>
      <c r="I116" s="41">
        <f>I114</f>
        <v>76000</v>
      </c>
      <c r="J116" s="8"/>
    </row>
    <row r="117" spans="2:11" hidden="1" x14ac:dyDescent="0.25">
      <c r="B117" s="35"/>
      <c r="D117" s="11">
        <f>'Concentrado octubre'!H17</f>
        <v>0</v>
      </c>
      <c r="E117" s="11">
        <f>'Concentrado octubre'!O17</f>
        <v>473.28</v>
      </c>
      <c r="F117" s="43">
        <f>SUM(Tabla1[[#This Row],[Juan]]+Tabla1[[#This Row],[Columna1]])</f>
        <v>473.28</v>
      </c>
      <c r="G117" s="21"/>
      <c r="H117" s="21"/>
      <c r="I117" s="11"/>
      <c r="J117" s="8"/>
    </row>
    <row r="118" spans="2:11" x14ac:dyDescent="0.25">
      <c r="B118" s="10"/>
      <c r="C118">
        <v>29</v>
      </c>
      <c r="D118" s="11">
        <f>D116+D117</f>
        <v>16042.680000000002</v>
      </c>
      <c r="E118" s="11">
        <f>E116+E117</f>
        <v>47920.399999999994</v>
      </c>
      <c r="F118" s="43">
        <f>SUM(Tabla1[[#This Row],[Juan]]+Tabla1[[#This Row],[Columna1]])</f>
        <v>63963.079999999994</v>
      </c>
      <c r="G118" s="43">
        <f>G116</f>
        <v>40000</v>
      </c>
      <c r="H118" s="48">
        <f>H116</f>
        <v>80000</v>
      </c>
      <c r="I118" s="41">
        <f>I116</f>
        <v>76000</v>
      </c>
      <c r="J118" s="8"/>
    </row>
    <row r="119" spans="2:11" hidden="1" x14ac:dyDescent="0.25">
      <c r="B119" s="35"/>
      <c r="D119" s="11">
        <f>'Concentrado octubre'!H18</f>
        <v>0</v>
      </c>
      <c r="E119" s="11">
        <f>'Concentrado octubre'!O18</f>
        <v>0</v>
      </c>
      <c r="F119" s="43">
        <f>SUM(Tabla1[[#This Row],[Juan]]+Tabla1[[#This Row],[Columna1]])</f>
        <v>0</v>
      </c>
      <c r="G119" s="21"/>
      <c r="H119" s="21"/>
      <c r="I119" s="11"/>
      <c r="J119" s="8"/>
    </row>
    <row r="120" spans="2:11" x14ac:dyDescent="0.25">
      <c r="B120" s="10"/>
      <c r="C120">
        <v>30</v>
      </c>
      <c r="D120" s="11">
        <f>D118+D119</f>
        <v>16042.680000000002</v>
      </c>
      <c r="E120" s="11">
        <f>E118+E119</f>
        <v>47920.399999999994</v>
      </c>
      <c r="F120" s="43">
        <f>SUM(Tabla1[[#This Row],[Juan]]+Tabla1[[#This Row],[Columna1]])</f>
        <v>63963.079999999994</v>
      </c>
      <c r="G120" s="43">
        <f>G118</f>
        <v>40000</v>
      </c>
      <c r="H120" s="48">
        <f>H118</f>
        <v>80000</v>
      </c>
      <c r="I120" s="41">
        <f>I118</f>
        <v>76000</v>
      </c>
      <c r="J120" s="10"/>
    </row>
    <row r="121" spans="2:11" hidden="1" x14ac:dyDescent="0.25">
      <c r="B121" s="35"/>
      <c r="D121" s="11">
        <f>'Concentrado octubre'!H19</f>
        <v>2648.9</v>
      </c>
      <c r="E121" s="11">
        <f>'Concentrado octubre'!O19</f>
        <v>0</v>
      </c>
      <c r="F121" s="43">
        <f>SUM(Tabla1[[#This Row],[Juan]]+Tabla1[[#This Row],[Columna1]])</f>
        <v>2648.9</v>
      </c>
      <c r="G121" s="21"/>
      <c r="H121" s="21"/>
      <c r="I121" s="11"/>
      <c r="J121" s="10"/>
    </row>
    <row r="122" spans="2:11" x14ac:dyDescent="0.25">
      <c r="B122" s="10"/>
      <c r="C122">
        <v>31</v>
      </c>
      <c r="D122" s="11">
        <f>D120+D121</f>
        <v>18691.580000000002</v>
      </c>
      <c r="E122" s="11">
        <f>E120+E121</f>
        <v>47920.399999999994</v>
      </c>
      <c r="F122" s="43">
        <f>SUM(Tabla1[[#This Row],[Juan]]+Tabla1[[#This Row],[Columna1]])</f>
        <v>66611.98</v>
      </c>
      <c r="G122" s="43">
        <f>G120</f>
        <v>40000</v>
      </c>
      <c r="H122" s="48">
        <f>H120</f>
        <v>80000</v>
      </c>
      <c r="I122" s="41">
        <f>I120</f>
        <v>76000</v>
      </c>
      <c r="J122" s="8"/>
    </row>
    <row r="123" spans="2:11" x14ac:dyDescent="0.25">
      <c r="B123" s="21"/>
      <c r="D123" s="21"/>
      <c r="E123" s="21"/>
      <c r="F123" s="21"/>
      <c r="G123" s="21"/>
      <c r="H123" s="21"/>
      <c r="I123" s="41"/>
      <c r="J123" s="21"/>
      <c r="K123" s="8"/>
    </row>
    <row r="125" spans="2:11" x14ac:dyDescent="0.25">
      <c r="C125" s="46" t="s">
        <v>13</v>
      </c>
      <c r="D125" t="s">
        <v>9</v>
      </c>
      <c r="E125" s="8" t="s">
        <v>8</v>
      </c>
      <c r="F125" s="23" t="s">
        <v>10</v>
      </c>
    </row>
    <row r="126" spans="2:11" x14ac:dyDescent="0.25">
      <c r="C126" s="45"/>
      <c r="D126" s="44">
        <f t="shared" ref="D126:F145" si="0">D61</f>
        <v>816.37</v>
      </c>
      <c r="E126" s="41">
        <f t="shared" si="0"/>
        <v>842.22</v>
      </c>
      <c r="F126" s="38">
        <f t="shared" si="0"/>
        <v>1658.5900000000001</v>
      </c>
    </row>
    <row r="127" spans="2:11" hidden="1" x14ac:dyDescent="0.25">
      <c r="C127" s="45">
        <v>1</v>
      </c>
      <c r="D127" s="44">
        <f t="shared" si="0"/>
        <v>816.37</v>
      </c>
      <c r="E127" s="41">
        <f t="shared" si="0"/>
        <v>842.22</v>
      </c>
      <c r="F127" s="38">
        <f t="shared" si="0"/>
        <v>1658.5900000000001</v>
      </c>
    </row>
    <row r="128" spans="2:11" x14ac:dyDescent="0.25">
      <c r="C128" s="45"/>
      <c r="D128" s="42">
        <f t="shared" si="0"/>
        <v>0.01</v>
      </c>
      <c r="E128" s="41">
        <f t="shared" si="0"/>
        <v>0</v>
      </c>
      <c r="F128" s="38">
        <f t="shared" si="0"/>
        <v>0.01</v>
      </c>
    </row>
    <row r="129" spans="3:6" hidden="1" x14ac:dyDescent="0.25">
      <c r="C129" s="45">
        <v>2</v>
      </c>
      <c r="D129" s="44">
        <f t="shared" si="0"/>
        <v>816.38</v>
      </c>
      <c r="E129" s="41">
        <f t="shared" si="0"/>
        <v>842.22</v>
      </c>
      <c r="F129" s="38">
        <f t="shared" si="0"/>
        <v>1658.6</v>
      </c>
    </row>
    <row r="130" spans="3:6" x14ac:dyDescent="0.25">
      <c r="C130" s="45"/>
      <c r="D130" s="44">
        <f t="shared" si="0"/>
        <v>0</v>
      </c>
      <c r="E130" s="41">
        <f t="shared" si="0"/>
        <v>2023.28</v>
      </c>
      <c r="F130" s="38">
        <f t="shared" si="0"/>
        <v>2023.28</v>
      </c>
    </row>
    <row r="131" spans="3:6" hidden="1" x14ac:dyDescent="0.25">
      <c r="C131" s="45">
        <v>3</v>
      </c>
      <c r="D131" s="44">
        <f t="shared" si="0"/>
        <v>816.38</v>
      </c>
      <c r="E131" s="41">
        <f t="shared" si="0"/>
        <v>2865.5</v>
      </c>
      <c r="F131" s="38">
        <f t="shared" si="0"/>
        <v>3681.88</v>
      </c>
    </row>
    <row r="132" spans="3:6" x14ac:dyDescent="0.25">
      <c r="C132" s="45"/>
      <c r="D132" s="42">
        <f t="shared" si="0"/>
        <v>0</v>
      </c>
      <c r="E132" s="41">
        <f t="shared" si="0"/>
        <v>516.38</v>
      </c>
      <c r="F132" s="38">
        <f t="shared" si="0"/>
        <v>516.38</v>
      </c>
    </row>
    <row r="133" spans="3:6" hidden="1" x14ac:dyDescent="0.25">
      <c r="C133" s="45">
        <v>4</v>
      </c>
      <c r="D133" s="44">
        <f t="shared" si="0"/>
        <v>816.38</v>
      </c>
      <c r="E133" s="41">
        <f t="shared" si="0"/>
        <v>3381.88</v>
      </c>
      <c r="F133" s="38">
        <f t="shared" si="0"/>
        <v>4198.26</v>
      </c>
    </row>
    <row r="134" spans="3:6" x14ac:dyDescent="0.25">
      <c r="C134" s="45"/>
      <c r="D134" s="44">
        <f t="shared" si="0"/>
        <v>1462.9099999999999</v>
      </c>
      <c r="E134" s="41">
        <f t="shared" si="0"/>
        <v>0</v>
      </c>
      <c r="F134" s="38">
        <f t="shared" si="0"/>
        <v>1462.9099999999999</v>
      </c>
    </row>
    <row r="135" spans="3:6" hidden="1" x14ac:dyDescent="0.25">
      <c r="C135" s="45">
        <v>5</v>
      </c>
      <c r="D135" s="44">
        <f t="shared" si="0"/>
        <v>2279.29</v>
      </c>
      <c r="E135" s="41">
        <f t="shared" si="0"/>
        <v>3381.88</v>
      </c>
      <c r="F135" s="38">
        <f t="shared" si="0"/>
        <v>5661.17</v>
      </c>
    </row>
    <row r="136" spans="3:6" x14ac:dyDescent="0.25">
      <c r="C136" s="45"/>
      <c r="D136" s="41">
        <f t="shared" si="0"/>
        <v>4409.3599999999997</v>
      </c>
      <c r="E136" s="41">
        <f t="shared" si="0"/>
        <v>0.01</v>
      </c>
      <c r="F136" s="38">
        <f t="shared" si="0"/>
        <v>4409.37</v>
      </c>
    </row>
    <row r="137" spans="3:6" hidden="1" x14ac:dyDescent="0.25">
      <c r="C137" s="45">
        <v>6</v>
      </c>
      <c r="D137" s="41">
        <f t="shared" si="0"/>
        <v>6688.65</v>
      </c>
      <c r="E137" s="41">
        <f t="shared" si="0"/>
        <v>3381.8900000000003</v>
      </c>
      <c r="F137" s="38">
        <f t="shared" si="0"/>
        <v>10070.540000000001</v>
      </c>
    </row>
    <row r="138" spans="3:6" x14ac:dyDescent="0.25">
      <c r="C138" s="45"/>
      <c r="D138" s="41">
        <f t="shared" si="0"/>
        <v>0</v>
      </c>
      <c r="E138" s="41">
        <f t="shared" si="0"/>
        <v>0.01</v>
      </c>
      <c r="F138" s="38">
        <f t="shared" si="0"/>
        <v>0.01</v>
      </c>
    </row>
    <row r="139" spans="3:6" hidden="1" x14ac:dyDescent="0.25">
      <c r="C139" s="45">
        <v>7</v>
      </c>
      <c r="D139" s="41">
        <f t="shared" si="0"/>
        <v>6688.65</v>
      </c>
      <c r="E139" s="41">
        <f t="shared" si="0"/>
        <v>3381.9000000000005</v>
      </c>
      <c r="F139" s="38">
        <f t="shared" si="0"/>
        <v>10070.549999999999</v>
      </c>
    </row>
    <row r="140" spans="3:6" x14ac:dyDescent="0.25">
      <c r="C140" s="45"/>
      <c r="D140" s="41">
        <f t="shared" si="0"/>
        <v>0.01</v>
      </c>
      <c r="E140" s="41">
        <f t="shared" si="0"/>
        <v>0</v>
      </c>
      <c r="F140" s="38">
        <f t="shared" si="0"/>
        <v>0.01</v>
      </c>
    </row>
    <row r="141" spans="3:6" hidden="1" x14ac:dyDescent="0.25">
      <c r="C141" s="45">
        <v>8</v>
      </c>
      <c r="D141" s="41">
        <f t="shared" si="0"/>
        <v>6688.66</v>
      </c>
      <c r="E141" s="41">
        <f t="shared" si="0"/>
        <v>3381.9000000000005</v>
      </c>
      <c r="F141" s="38">
        <f t="shared" si="0"/>
        <v>10070.560000000001</v>
      </c>
    </row>
    <row r="142" spans="3:6" x14ac:dyDescent="0.25">
      <c r="C142" s="45"/>
      <c r="D142" s="41">
        <f t="shared" si="0"/>
        <v>0</v>
      </c>
      <c r="E142" s="41">
        <f t="shared" si="0"/>
        <v>0</v>
      </c>
      <c r="F142" s="38">
        <f t="shared" si="0"/>
        <v>0</v>
      </c>
    </row>
    <row r="143" spans="3:6" hidden="1" x14ac:dyDescent="0.25">
      <c r="C143" s="45">
        <v>9</v>
      </c>
      <c r="D143" s="41">
        <f t="shared" si="0"/>
        <v>6688.66</v>
      </c>
      <c r="E143" s="41">
        <f t="shared" si="0"/>
        <v>3381.9000000000005</v>
      </c>
      <c r="F143" s="38">
        <f t="shared" si="0"/>
        <v>10070.560000000001</v>
      </c>
    </row>
    <row r="144" spans="3:6" x14ac:dyDescent="0.25">
      <c r="C144" s="45"/>
      <c r="D144" s="41">
        <f t="shared" si="0"/>
        <v>516.37</v>
      </c>
      <c r="E144" s="41">
        <f t="shared" si="0"/>
        <v>0</v>
      </c>
      <c r="F144" s="38">
        <f t="shared" si="0"/>
        <v>516.37</v>
      </c>
    </row>
    <row r="145" spans="3:6" hidden="1" x14ac:dyDescent="0.25">
      <c r="C145" s="45">
        <v>10</v>
      </c>
      <c r="D145" s="41">
        <f t="shared" si="0"/>
        <v>7205.03</v>
      </c>
      <c r="E145" s="41">
        <f t="shared" si="0"/>
        <v>3381.9000000000005</v>
      </c>
      <c r="F145" s="38">
        <f t="shared" si="0"/>
        <v>10586.93</v>
      </c>
    </row>
    <row r="146" spans="3:6" x14ac:dyDescent="0.25">
      <c r="C146" s="45"/>
      <c r="D146" s="41">
        <f t="shared" ref="D146:F165" si="1">D81</f>
        <v>3025.76</v>
      </c>
      <c r="E146" s="41">
        <f t="shared" si="1"/>
        <v>16622.669999999998</v>
      </c>
      <c r="F146" s="38">
        <f t="shared" si="1"/>
        <v>19648.43</v>
      </c>
    </row>
    <row r="147" spans="3:6" hidden="1" x14ac:dyDescent="0.25">
      <c r="C147" s="45">
        <v>11</v>
      </c>
      <c r="D147" s="41">
        <f t="shared" si="1"/>
        <v>10230.790000000001</v>
      </c>
      <c r="E147" s="41">
        <f t="shared" si="1"/>
        <v>20004.57</v>
      </c>
      <c r="F147" s="38">
        <f t="shared" si="1"/>
        <v>30235.360000000001</v>
      </c>
    </row>
    <row r="148" spans="3:6" x14ac:dyDescent="0.25">
      <c r="C148" s="45"/>
      <c r="D148" s="41">
        <f t="shared" si="1"/>
        <v>214.65</v>
      </c>
      <c r="E148" s="41">
        <f t="shared" si="1"/>
        <v>11032.759999999998</v>
      </c>
      <c r="F148" s="38">
        <f t="shared" si="1"/>
        <v>11247.409999999998</v>
      </c>
    </row>
    <row r="149" spans="3:6" hidden="1" x14ac:dyDescent="0.25">
      <c r="C149" s="45">
        <v>12</v>
      </c>
      <c r="D149" s="41">
        <f t="shared" si="1"/>
        <v>10445.44</v>
      </c>
      <c r="E149" s="41">
        <f t="shared" si="1"/>
        <v>31037.329999999998</v>
      </c>
      <c r="F149" s="38">
        <f t="shared" si="1"/>
        <v>41482.769999999997</v>
      </c>
    </row>
    <row r="150" spans="3:6" x14ac:dyDescent="0.25">
      <c r="C150" s="45"/>
      <c r="D150" s="41">
        <f t="shared" si="1"/>
        <v>730.16</v>
      </c>
      <c r="E150" s="41">
        <f t="shared" si="1"/>
        <v>0</v>
      </c>
      <c r="F150" s="38">
        <f t="shared" si="1"/>
        <v>730.16</v>
      </c>
    </row>
    <row r="151" spans="3:6" hidden="1" x14ac:dyDescent="0.25">
      <c r="C151" s="45">
        <v>13</v>
      </c>
      <c r="D151" s="41">
        <f t="shared" si="1"/>
        <v>11175.6</v>
      </c>
      <c r="E151" s="41">
        <f t="shared" si="1"/>
        <v>31037.329999999998</v>
      </c>
      <c r="F151" s="38">
        <f t="shared" si="1"/>
        <v>42212.93</v>
      </c>
    </row>
    <row r="152" spans="3:6" x14ac:dyDescent="0.25">
      <c r="C152" s="45"/>
      <c r="D152" s="41">
        <f t="shared" si="1"/>
        <v>343.1</v>
      </c>
      <c r="E152" s="41">
        <f t="shared" si="1"/>
        <v>0.01</v>
      </c>
      <c r="F152" s="38">
        <f t="shared" si="1"/>
        <v>343.11</v>
      </c>
    </row>
    <row r="153" spans="3:6" hidden="1" x14ac:dyDescent="0.25">
      <c r="C153" s="45">
        <v>14</v>
      </c>
      <c r="D153" s="41">
        <f t="shared" si="1"/>
        <v>11518.7</v>
      </c>
      <c r="E153" s="41">
        <f t="shared" si="1"/>
        <v>31037.339999999997</v>
      </c>
      <c r="F153" s="38">
        <f t="shared" si="1"/>
        <v>42556.039999999994</v>
      </c>
    </row>
    <row r="154" spans="3:6" x14ac:dyDescent="0.25">
      <c r="C154" s="45"/>
      <c r="D154" s="41">
        <f t="shared" si="1"/>
        <v>0.01</v>
      </c>
      <c r="E154" s="41">
        <f t="shared" si="1"/>
        <v>3543.79</v>
      </c>
      <c r="F154" s="38">
        <f t="shared" si="1"/>
        <v>3543.8</v>
      </c>
    </row>
    <row r="155" spans="3:6" hidden="1" x14ac:dyDescent="0.25">
      <c r="C155" s="45">
        <v>15</v>
      </c>
      <c r="D155" s="41">
        <f t="shared" si="1"/>
        <v>11518.710000000001</v>
      </c>
      <c r="E155" s="41">
        <f t="shared" si="1"/>
        <v>34581.129999999997</v>
      </c>
      <c r="F155" s="38">
        <f t="shared" si="1"/>
        <v>46099.839999999997</v>
      </c>
    </row>
    <row r="156" spans="3:6" x14ac:dyDescent="0.25">
      <c r="C156" s="45"/>
      <c r="D156" s="41">
        <f t="shared" si="1"/>
        <v>0</v>
      </c>
      <c r="E156" s="41">
        <f t="shared" si="1"/>
        <v>0</v>
      </c>
      <c r="F156" s="38">
        <f t="shared" si="1"/>
        <v>0</v>
      </c>
    </row>
    <row r="157" spans="3:6" hidden="1" x14ac:dyDescent="0.25">
      <c r="C157" s="45">
        <v>16</v>
      </c>
      <c r="D157" s="41">
        <f t="shared" si="1"/>
        <v>11518.710000000001</v>
      </c>
      <c r="E157" s="41">
        <f t="shared" si="1"/>
        <v>34581.129999999997</v>
      </c>
      <c r="F157" s="38">
        <f t="shared" si="1"/>
        <v>46099.839999999997</v>
      </c>
    </row>
    <row r="158" spans="3:6" x14ac:dyDescent="0.25">
      <c r="C158" s="45"/>
      <c r="D158" s="41">
        <f t="shared" si="1"/>
        <v>0</v>
      </c>
      <c r="E158" s="41">
        <f t="shared" si="1"/>
        <v>3735.27</v>
      </c>
      <c r="F158" s="38">
        <f t="shared" si="1"/>
        <v>3735.27</v>
      </c>
    </row>
    <row r="159" spans="3:6" hidden="1" x14ac:dyDescent="0.25">
      <c r="C159" s="45">
        <v>17</v>
      </c>
      <c r="D159" s="41">
        <f t="shared" si="1"/>
        <v>11518.710000000001</v>
      </c>
      <c r="E159" s="41">
        <f t="shared" si="1"/>
        <v>38316.399999999994</v>
      </c>
      <c r="F159" s="38">
        <f t="shared" si="1"/>
        <v>49835.109999999993</v>
      </c>
    </row>
    <row r="160" spans="3:6" x14ac:dyDescent="0.25">
      <c r="C160" s="45"/>
      <c r="D160" s="41">
        <f t="shared" si="1"/>
        <v>1901.58</v>
      </c>
      <c r="E160" s="41">
        <f t="shared" si="1"/>
        <v>0</v>
      </c>
      <c r="F160" s="38">
        <f t="shared" si="1"/>
        <v>1901.58</v>
      </c>
    </row>
    <row r="161" spans="3:6" hidden="1" x14ac:dyDescent="0.25">
      <c r="C161" s="45">
        <v>18</v>
      </c>
      <c r="D161" s="41">
        <f t="shared" si="1"/>
        <v>13420.29</v>
      </c>
      <c r="E161" s="38">
        <f t="shared" si="1"/>
        <v>38316.399999999994</v>
      </c>
      <c r="F161" s="38">
        <f t="shared" si="1"/>
        <v>51736.689999999995</v>
      </c>
    </row>
    <row r="162" spans="3:6" x14ac:dyDescent="0.25">
      <c r="C162" s="45"/>
      <c r="D162" s="41">
        <f t="shared" si="1"/>
        <v>0</v>
      </c>
      <c r="E162" s="38">
        <f t="shared" si="1"/>
        <v>343.97</v>
      </c>
      <c r="F162" s="38">
        <f t="shared" si="1"/>
        <v>343.97</v>
      </c>
    </row>
    <row r="163" spans="3:6" hidden="1" x14ac:dyDescent="0.25">
      <c r="C163" s="45">
        <v>19</v>
      </c>
      <c r="D163" s="41">
        <f t="shared" si="1"/>
        <v>13420.29</v>
      </c>
      <c r="E163" s="38">
        <f t="shared" si="1"/>
        <v>38660.369999999995</v>
      </c>
      <c r="F163" s="41">
        <f t="shared" si="1"/>
        <v>52080.659999999996</v>
      </c>
    </row>
    <row r="164" spans="3:6" x14ac:dyDescent="0.25">
      <c r="C164" s="45"/>
      <c r="D164" s="41">
        <f t="shared" si="1"/>
        <v>0</v>
      </c>
      <c r="E164" s="38">
        <f t="shared" si="1"/>
        <v>731.89</v>
      </c>
      <c r="F164" s="41">
        <f t="shared" si="1"/>
        <v>731.89</v>
      </c>
    </row>
    <row r="165" spans="3:6" hidden="1" x14ac:dyDescent="0.25">
      <c r="C165" s="45">
        <v>20</v>
      </c>
      <c r="D165" s="41">
        <f t="shared" si="1"/>
        <v>13420.29</v>
      </c>
      <c r="E165" s="41">
        <f t="shared" si="1"/>
        <v>39392.259999999995</v>
      </c>
      <c r="F165" s="41">
        <f t="shared" si="1"/>
        <v>52812.549999999996</v>
      </c>
    </row>
    <row r="166" spans="3:6" x14ac:dyDescent="0.25">
      <c r="C166" s="45"/>
      <c r="D166" s="41">
        <f t="shared" ref="D166:F185" si="2">D101</f>
        <v>0</v>
      </c>
      <c r="E166" s="41">
        <f t="shared" si="2"/>
        <v>2824.14</v>
      </c>
      <c r="F166" s="41">
        <f t="shared" si="2"/>
        <v>2824.14</v>
      </c>
    </row>
    <row r="167" spans="3:6" hidden="1" x14ac:dyDescent="0.25">
      <c r="C167" s="45">
        <v>21</v>
      </c>
      <c r="D167" s="41">
        <f t="shared" si="2"/>
        <v>13420.29</v>
      </c>
      <c r="E167" s="41">
        <f t="shared" si="2"/>
        <v>42216.399999999994</v>
      </c>
      <c r="F167" s="41">
        <f t="shared" si="2"/>
        <v>55636.689999999995</v>
      </c>
    </row>
    <row r="168" spans="3:6" x14ac:dyDescent="0.25">
      <c r="C168" s="45"/>
      <c r="D168" s="41">
        <f t="shared" si="2"/>
        <v>0.01</v>
      </c>
      <c r="E168" s="41">
        <f t="shared" si="2"/>
        <v>2437.9299999999998</v>
      </c>
      <c r="F168" s="41">
        <f t="shared" si="2"/>
        <v>2437.94</v>
      </c>
    </row>
    <row r="169" spans="3:6" hidden="1" x14ac:dyDescent="0.25">
      <c r="C169" s="45">
        <v>22</v>
      </c>
      <c r="D169" s="41">
        <f t="shared" si="2"/>
        <v>13420.300000000001</v>
      </c>
      <c r="E169" s="41">
        <f t="shared" si="2"/>
        <v>44654.329999999994</v>
      </c>
      <c r="F169" s="41">
        <f t="shared" si="2"/>
        <v>58074.63</v>
      </c>
    </row>
    <row r="170" spans="3:6" x14ac:dyDescent="0.25">
      <c r="C170" s="45"/>
      <c r="D170" s="41">
        <f t="shared" si="2"/>
        <v>861.2</v>
      </c>
      <c r="E170" s="41">
        <f t="shared" si="2"/>
        <v>0.01</v>
      </c>
      <c r="F170" s="41">
        <f t="shared" si="2"/>
        <v>861.21</v>
      </c>
    </row>
    <row r="171" spans="3:6" hidden="1" x14ac:dyDescent="0.25">
      <c r="C171" s="45">
        <v>23</v>
      </c>
      <c r="D171" s="41">
        <f t="shared" si="2"/>
        <v>14281.500000000002</v>
      </c>
      <c r="E171" s="41">
        <f t="shared" si="2"/>
        <v>44654.34</v>
      </c>
      <c r="F171" s="41">
        <f t="shared" si="2"/>
        <v>58935.839999999997</v>
      </c>
    </row>
    <row r="172" spans="3:6" x14ac:dyDescent="0.25">
      <c r="C172" s="45"/>
      <c r="D172" s="41">
        <f t="shared" si="2"/>
        <v>0</v>
      </c>
      <c r="E172" s="41">
        <f t="shared" si="2"/>
        <v>0</v>
      </c>
      <c r="F172" s="41">
        <f t="shared" si="2"/>
        <v>0</v>
      </c>
    </row>
    <row r="173" spans="3:6" hidden="1" x14ac:dyDescent="0.25">
      <c r="C173" s="45">
        <v>24</v>
      </c>
      <c r="D173" s="41">
        <f t="shared" si="2"/>
        <v>14281.500000000002</v>
      </c>
      <c r="E173" s="41">
        <f t="shared" si="2"/>
        <v>44654.34</v>
      </c>
      <c r="F173" s="41">
        <f t="shared" si="2"/>
        <v>58935.839999999997</v>
      </c>
    </row>
    <row r="174" spans="3:6" x14ac:dyDescent="0.25">
      <c r="C174" s="45"/>
      <c r="D174" s="41">
        <f t="shared" si="2"/>
        <v>300</v>
      </c>
      <c r="E174" s="41">
        <f t="shared" si="2"/>
        <v>2119.13</v>
      </c>
      <c r="F174" s="41">
        <f t="shared" si="2"/>
        <v>2419.13</v>
      </c>
    </row>
    <row r="175" spans="3:6" hidden="1" x14ac:dyDescent="0.25">
      <c r="C175" s="45">
        <v>25</v>
      </c>
      <c r="D175" s="41">
        <f t="shared" si="2"/>
        <v>14581.500000000002</v>
      </c>
      <c r="E175" s="41">
        <f t="shared" si="2"/>
        <v>46773.469999999994</v>
      </c>
      <c r="F175" s="41">
        <f t="shared" si="2"/>
        <v>61354.969999999994</v>
      </c>
    </row>
    <row r="176" spans="3:6" x14ac:dyDescent="0.25">
      <c r="C176" s="45"/>
      <c r="D176" s="41">
        <f t="shared" si="2"/>
        <v>0</v>
      </c>
      <c r="E176" s="41">
        <f t="shared" si="2"/>
        <v>673.64</v>
      </c>
      <c r="F176" s="41">
        <f t="shared" si="2"/>
        <v>673.64</v>
      </c>
    </row>
    <row r="177" spans="3:6" hidden="1" x14ac:dyDescent="0.25">
      <c r="C177" s="45">
        <v>26</v>
      </c>
      <c r="D177" s="41">
        <f t="shared" si="2"/>
        <v>14581.500000000002</v>
      </c>
      <c r="E177" s="41">
        <f t="shared" si="2"/>
        <v>47447.109999999993</v>
      </c>
      <c r="F177" s="41">
        <f t="shared" si="2"/>
        <v>62028.609999999993</v>
      </c>
    </row>
    <row r="178" spans="3:6" x14ac:dyDescent="0.25">
      <c r="C178" s="45"/>
      <c r="D178" s="41">
        <f t="shared" si="2"/>
        <v>1461.1799999999998</v>
      </c>
      <c r="E178" s="41">
        <f t="shared" si="2"/>
        <v>0</v>
      </c>
      <c r="F178" s="41">
        <f t="shared" si="2"/>
        <v>1461.1799999999998</v>
      </c>
    </row>
    <row r="179" spans="3:6" hidden="1" x14ac:dyDescent="0.25">
      <c r="C179" s="45">
        <v>27</v>
      </c>
      <c r="D179" s="41">
        <f t="shared" si="2"/>
        <v>16042.680000000002</v>
      </c>
      <c r="E179" s="41">
        <f t="shared" si="2"/>
        <v>47447.109999999993</v>
      </c>
      <c r="F179" s="41">
        <f t="shared" si="2"/>
        <v>63489.789999999994</v>
      </c>
    </row>
    <row r="180" spans="3:6" x14ac:dyDescent="0.25">
      <c r="C180" s="45"/>
      <c r="D180" s="41">
        <f t="shared" si="2"/>
        <v>0</v>
      </c>
      <c r="E180" s="41">
        <f t="shared" si="2"/>
        <v>0.01</v>
      </c>
      <c r="F180" s="41">
        <f t="shared" si="2"/>
        <v>0.01</v>
      </c>
    </row>
    <row r="181" spans="3:6" hidden="1" x14ac:dyDescent="0.25">
      <c r="C181" s="45">
        <v>28</v>
      </c>
      <c r="D181" s="41">
        <f t="shared" si="2"/>
        <v>16042.680000000002</v>
      </c>
      <c r="E181" s="41">
        <f t="shared" si="2"/>
        <v>47447.119999999995</v>
      </c>
      <c r="F181" s="41">
        <f t="shared" si="2"/>
        <v>63489.799999999996</v>
      </c>
    </row>
    <row r="182" spans="3:6" x14ac:dyDescent="0.25">
      <c r="C182" s="45"/>
      <c r="D182" s="41">
        <f t="shared" si="2"/>
        <v>0</v>
      </c>
      <c r="E182" s="41">
        <f t="shared" si="2"/>
        <v>473.28</v>
      </c>
      <c r="F182" s="41">
        <f t="shared" si="2"/>
        <v>473.28</v>
      </c>
    </row>
    <row r="183" spans="3:6" hidden="1" x14ac:dyDescent="0.25">
      <c r="C183" s="45">
        <v>29</v>
      </c>
      <c r="D183" s="41">
        <f t="shared" si="2"/>
        <v>16042.680000000002</v>
      </c>
      <c r="E183" s="41">
        <f t="shared" si="2"/>
        <v>47920.399999999994</v>
      </c>
      <c r="F183" s="41">
        <f t="shared" si="2"/>
        <v>63963.079999999994</v>
      </c>
    </row>
    <row r="184" spans="3:6" x14ac:dyDescent="0.25">
      <c r="C184" s="45"/>
      <c r="D184" s="41">
        <f t="shared" si="2"/>
        <v>0</v>
      </c>
      <c r="E184" s="41">
        <f t="shared" si="2"/>
        <v>0</v>
      </c>
      <c r="F184" s="41">
        <f t="shared" si="2"/>
        <v>0</v>
      </c>
    </row>
    <row r="185" spans="3:6" hidden="1" x14ac:dyDescent="0.25">
      <c r="C185" s="45">
        <v>30</v>
      </c>
      <c r="D185" s="41">
        <f t="shared" si="2"/>
        <v>16042.680000000002</v>
      </c>
      <c r="E185" s="41">
        <f t="shared" si="2"/>
        <v>47920.399999999994</v>
      </c>
      <c r="F185" s="41">
        <f t="shared" si="2"/>
        <v>63963.079999999994</v>
      </c>
    </row>
    <row r="186" spans="3:6" x14ac:dyDescent="0.25">
      <c r="C186" s="45"/>
      <c r="D186" s="41">
        <f t="shared" ref="D186:F187" si="3">D121</f>
        <v>2648.9</v>
      </c>
      <c r="E186" s="41">
        <f t="shared" si="3"/>
        <v>0</v>
      </c>
      <c r="F186" s="41">
        <f t="shared" si="3"/>
        <v>2648.9</v>
      </c>
    </row>
    <row r="187" spans="3:6" hidden="1" x14ac:dyDescent="0.25">
      <c r="C187" s="45">
        <v>31</v>
      </c>
      <c r="D187" s="41">
        <f t="shared" si="3"/>
        <v>18691.580000000002</v>
      </c>
      <c r="E187" s="41">
        <f t="shared" si="3"/>
        <v>47920.399999999994</v>
      </c>
      <c r="F187" s="41">
        <f t="shared" si="3"/>
        <v>66611.98</v>
      </c>
    </row>
  </sheetData>
  <mergeCells count="12">
    <mergeCell ref="AC98:AD98"/>
    <mergeCell ref="AG98:AI98"/>
    <mergeCell ref="AJ98:AK98"/>
    <mergeCell ref="Z94:AB94"/>
    <mergeCell ref="AC94:AD94"/>
    <mergeCell ref="AG94:AI94"/>
    <mergeCell ref="AJ94:AK94"/>
    <mergeCell ref="Z96:AB96"/>
    <mergeCell ref="AC96:AD96"/>
    <mergeCell ref="AG96:AI96"/>
    <mergeCell ref="AJ96:AK96"/>
    <mergeCell ref="Z98:AB98"/>
  </mergeCells>
  <conditionalFormatting sqref="Q66:Q67">
    <cfRule type="cellIs" dxfId="109" priority="12" operator="greaterThan">
      <formula>88000</formula>
    </cfRule>
  </conditionalFormatting>
  <conditionalFormatting sqref="AC98:AD99">
    <cfRule type="cellIs" dxfId="108" priority="10" operator="lessThan">
      <formula>0</formula>
    </cfRule>
  </conditionalFormatting>
  <conditionalFormatting sqref="AJ98:AK99">
    <cfRule type="cellIs" dxfId="107" priority="11" operator="lessThan">
      <formula>0</formula>
    </cfRule>
  </conditionalFormatting>
  <conditionalFormatting sqref="AC94:AD95">
    <cfRule type="cellIs" dxfId="106" priority="9" operator="greaterThan">
      <formula>44000</formula>
    </cfRule>
  </conditionalFormatting>
  <conditionalFormatting sqref="AJ94:AK95">
    <cfRule type="cellIs" dxfId="105" priority="8" operator="greaterThan">
      <formula>44000</formula>
    </cfRule>
  </conditionalFormatting>
  <conditionalFormatting sqref="Q66:R67">
    <cfRule type="cellIs" dxfId="104" priority="7" operator="greaterThan">
      <formula>88000</formula>
    </cfRule>
  </conditionalFormatting>
  <conditionalFormatting sqref="P72:R75">
    <cfRule type="containsText" dxfId="103" priority="6" operator="containsText" text="¡FELICIDADES CARLOS!">
      <formula>NOT(ISERROR(SEARCH("¡FELICIDADES CARLOS!",P72)))</formula>
    </cfRule>
  </conditionalFormatting>
  <conditionalFormatting sqref="P62:R65">
    <cfRule type="containsText" dxfId="102" priority="5" operator="containsText" text="¡FELICIDADES JUAN!">
      <formula>NOT(ISERROR(SEARCH("¡FELICIDADES JUAN!",P62)))</formula>
    </cfRule>
  </conditionalFormatting>
  <conditionalFormatting sqref="Q68:R69">
    <cfRule type="cellIs" dxfId="101" priority="4" operator="greaterThan">
      <formula>0.95</formula>
    </cfRule>
  </conditionalFormatting>
  <conditionalFormatting sqref="AJ96:AK97">
    <cfRule type="cellIs" dxfId="100" priority="3" operator="greaterThan">
      <formula>0.95</formula>
    </cfRule>
  </conditionalFormatting>
  <conditionalFormatting sqref="AC96:AD97">
    <cfRule type="cellIs" dxfId="99" priority="2" operator="greaterThan">
      <formula>0.95</formula>
    </cfRule>
  </conditionalFormatting>
  <conditionalFormatting sqref="Q70:R71">
    <cfRule type="cellIs" dxfId="98" priority="1" operator="lessThan">
      <formula>0</formula>
    </cfRule>
  </conditionalFormatting>
  <dataValidations count="3">
    <dataValidation type="whole" showInputMessage="1" showErrorMessage="1" sqref="B55" xr:uid="{00000000-0002-0000-0100-000000000000}">
      <formula1>1</formula1>
      <formula2>31</formula2>
    </dataValidation>
    <dataValidation type="list" allowBlank="1" showInputMessage="1" showErrorMessage="1" sqref="B2" xr:uid="{00000000-0002-0000-0100-000001000000}">
      <formula1>#REF!</formula1>
    </dataValidation>
    <dataValidation allowBlank="1" showInputMessage="1" showErrorMessage="1" errorTitle="Día" sqref="K59 J60:J89" xr:uid="{00000000-0002-0000-0100-000002000000}"/>
  </dataValidation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587B9-F08F-419D-A2CC-1A731A075344}">
  <dimension ref="A1:AC33"/>
  <sheetViews>
    <sheetView showGridLines="0" zoomScale="90" zoomScaleNormal="90" workbookViewId="0">
      <selection activeCell="Q19" sqref="Q19"/>
    </sheetView>
  </sheetViews>
  <sheetFormatPr baseColWidth="10" defaultRowHeight="15" x14ac:dyDescent="0.25"/>
  <cols>
    <col min="1" max="1" width="3.140625" customWidth="1"/>
    <col min="2" max="3" width="3.5703125" customWidth="1"/>
    <col min="4" max="4" width="4.28515625" customWidth="1"/>
    <col min="5" max="5" width="19" customWidth="1"/>
    <col min="6" max="7" width="4.28515625" customWidth="1"/>
    <col min="8" max="8" width="18.5703125" customWidth="1"/>
    <col min="9" max="9" width="4.28515625" customWidth="1"/>
    <col min="10" max="10" width="4.42578125" customWidth="1"/>
    <col min="11" max="11" width="4.28515625" customWidth="1"/>
    <col min="12" max="12" width="18.5703125" customWidth="1"/>
    <col min="13" max="13" width="4.42578125" customWidth="1"/>
    <col min="14" max="14" width="4.28515625" customWidth="1"/>
    <col min="15" max="15" width="18.42578125" customWidth="1"/>
    <col min="16" max="16" width="4.42578125" customWidth="1"/>
    <col min="18" max="18" width="13.5703125" bestFit="1" customWidth="1"/>
    <col min="19" max="19" width="11.42578125" customWidth="1"/>
    <col min="20" max="20" width="13.5703125" bestFit="1" customWidth="1"/>
    <col min="22" max="22" width="11.42578125" customWidth="1"/>
    <col min="24" max="24" width="2.85546875" style="54" customWidth="1"/>
    <col min="25" max="25" width="2.7109375" customWidth="1"/>
    <col min="26" max="26" width="27.85546875" customWidth="1"/>
    <col min="27" max="28" width="15.7109375" customWidth="1"/>
  </cols>
  <sheetData>
    <row r="1" spans="1:29" x14ac:dyDescent="0.25">
      <c r="A1" s="54"/>
      <c r="B1" s="58"/>
      <c r="Y1" s="54"/>
      <c r="Z1" s="54"/>
      <c r="AA1" s="54"/>
      <c r="AB1" s="54"/>
      <c r="AC1" s="54"/>
    </row>
    <row r="2" spans="1:29" ht="12.75" customHeight="1" x14ac:dyDescent="0.25">
      <c r="A2" s="58"/>
      <c r="B2" s="58"/>
      <c r="D2" s="111" t="s">
        <v>26</v>
      </c>
      <c r="E2" s="112"/>
      <c r="F2" s="112"/>
      <c r="G2" s="112"/>
      <c r="H2" s="113"/>
      <c r="I2" s="16"/>
      <c r="J2" s="16"/>
      <c r="K2" s="111" t="s">
        <v>27</v>
      </c>
      <c r="L2" s="112"/>
      <c r="M2" s="112"/>
      <c r="N2" s="112"/>
      <c r="O2" s="113"/>
      <c r="Y2" s="104" t="s">
        <v>20</v>
      </c>
      <c r="Z2" s="104"/>
      <c r="AA2" s="104"/>
      <c r="AB2" s="104"/>
      <c r="AC2" s="54"/>
    </row>
    <row r="3" spans="1:29" ht="12" customHeight="1" x14ac:dyDescent="0.25">
      <c r="D3" s="77"/>
      <c r="E3" s="77"/>
      <c r="F3" s="77"/>
      <c r="Y3" s="104"/>
      <c r="Z3" s="104"/>
      <c r="AA3" s="104"/>
      <c r="AB3" s="104"/>
      <c r="AC3" s="54"/>
    </row>
    <row r="4" spans="1:29" x14ac:dyDescent="0.25">
      <c r="D4" s="6">
        <v>1</v>
      </c>
      <c r="E4" s="7">
        <v>0</v>
      </c>
      <c r="F4" s="8"/>
      <c r="G4" s="6">
        <v>16</v>
      </c>
      <c r="H4" s="7">
        <v>2163.2800000000002</v>
      </c>
      <c r="I4" s="8"/>
      <c r="J4" s="8"/>
      <c r="K4" s="6">
        <v>1</v>
      </c>
      <c r="L4" s="7">
        <v>0</v>
      </c>
      <c r="M4" s="8"/>
      <c r="N4" s="6">
        <v>16</v>
      </c>
      <c r="O4" s="7">
        <v>433.79</v>
      </c>
      <c r="P4" s="8"/>
      <c r="Q4" s="8"/>
      <c r="R4" s="136" t="str">
        <f>IF(G21&gt;AA6,"¡FELICIDADES JORGE!","SIGUE PARTICIPANDO")</f>
        <v>SIGUE PARTICIPANDO</v>
      </c>
      <c r="S4" s="136"/>
      <c r="T4" s="136"/>
      <c r="U4" s="136"/>
      <c r="Y4" s="54"/>
      <c r="Z4" s="76"/>
      <c r="AA4" s="76"/>
      <c r="AB4" s="54"/>
      <c r="AC4" s="54"/>
    </row>
    <row r="5" spans="1:29" x14ac:dyDescent="0.25">
      <c r="D5" s="8">
        <v>2</v>
      </c>
      <c r="E5" s="9">
        <v>993.6</v>
      </c>
      <c r="F5" s="8"/>
      <c r="G5" s="8">
        <v>17</v>
      </c>
      <c r="H5" s="9">
        <v>0.01</v>
      </c>
      <c r="I5" s="8"/>
      <c r="J5" s="8"/>
      <c r="K5" s="8">
        <v>2</v>
      </c>
      <c r="L5" s="9">
        <v>0.01</v>
      </c>
      <c r="M5" s="8"/>
      <c r="N5" s="8">
        <v>17</v>
      </c>
      <c r="O5" s="9">
        <v>0.01</v>
      </c>
      <c r="P5" s="8"/>
      <c r="Q5" s="8"/>
      <c r="R5" s="136"/>
      <c r="S5" s="136"/>
      <c r="T5" s="136"/>
      <c r="U5" s="136"/>
      <c r="Y5" s="105" t="s">
        <v>21</v>
      </c>
      <c r="Z5" s="105"/>
      <c r="AA5" s="105"/>
      <c r="AB5" s="105"/>
      <c r="AC5" s="105"/>
    </row>
    <row r="6" spans="1:29" x14ac:dyDescent="0.25">
      <c r="D6" s="6">
        <v>3</v>
      </c>
      <c r="E6" s="7">
        <v>0.01</v>
      </c>
      <c r="F6" s="8"/>
      <c r="G6" s="6">
        <v>18</v>
      </c>
      <c r="H6" s="7">
        <v>0</v>
      </c>
      <c r="I6" s="8"/>
      <c r="J6" s="8"/>
      <c r="K6" s="6">
        <v>3</v>
      </c>
      <c r="L6" s="7">
        <v>3478.5</v>
      </c>
      <c r="M6" s="8"/>
      <c r="N6" s="6">
        <v>18</v>
      </c>
      <c r="O6" s="7">
        <v>0</v>
      </c>
      <c r="P6" s="8"/>
      <c r="Q6" s="8"/>
      <c r="R6" s="109" t="s">
        <v>0</v>
      </c>
      <c r="S6" s="110"/>
      <c r="T6" s="115">
        <f>SUM(G21,N21,N29)</f>
        <v>67777.709999999992</v>
      </c>
      <c r="U6" s="116"/>
      <c r="Z6" s="53" t="s">
        <v>18</v>
      </c>
      <c r="AA6" s="41">
        <f>T7/2</f>
        <v>37500</v>
      </c>
    </row>
    <row r="7" spans="1:29" x14ac:dyDescent="0.25">
      <c r="D7" s="8">
        <v>4</v>
      </c>
      <c r="E7" s="11">
        <v>300</v>
      </c>
      <c r="F7" s="8"/>
      <c r="G7" s="8">
        <v>19</v>
      </c>
      <c r="H7" s="11">
        <v>0</v>
      </c>
      <c r="I7" s="8"/>
      <c r="J7" s="8"/>
      <c r="K7" s="8">
        <v>4</v>
      </c>
      <c r="L7" s="9">
        <v>0</v>
      </c>
      <c r="M7" s="8"/>
      <c r="N7" s="8">
        <v>19</v>
      </c>
      <c r="O7" s="11">
        <f>559.48+327.74</f>
        <v>887.22</v>
      </c>
      <c r="P7" s="8"/>
      <c r="Q7" s="8"/>
      <c r="R7" s="109" t="s">
        <v>17</v>
      </c>
      <c r="S7" s="110"/>
      <c r="T7" s="106">
        <v>75000</v>
      </c>
      <c r="U7" s="107"/>
      <c r="W7" s="41"/>
      <c r="Z7" s="53" t="s">
        <v>19</v>
      </c>
      <c r="AA7" s="41">
        <f>AA6*0.91</f>
        <v>34125</v>
      </c>
    </row>
    <row r="8" spans="1:29" x14ac:dyDescent="0.25">
      <c r="D8" s="6">
        <v>5</v>
      </c>
      <c r="E8" s="7">
        <v>1938.79</v>
      </c>
      <c r="F8" s="8"/>
      <c r="G8" s="6">
        <v>20</v>
      </c>
      <c r="H8" s="7">
        <v>729.3</v>
      </c>
      <c r="I8" s="8"/>
      <c r="J8" s="8"/>
      <c r="K8" s="6">
        <v>5</v>
      </c>
      <c r="L8" s="7">
        <v>2161.0100000000002</v>
      </c>
      <c r="M8" s="8"/>
      <c r="N8" s="6">
        <v>20</v>
      </c>
      <c r="O8" s="7">
        <v>516.38</v>
      </c>
      <c r="P8" s="8"/>
      <c r="Q8" s="8"/>
      <c r="R8" s="109" t="s">
        <v>4</v>
      </c>
      <c r="S8" s="110"/>
      <c r="T8" s="119">
        <f>T6/T7</f>
        <v>0.90370279999999992</v>
      </c>
      <c r="U8" s="120"/>
      <c r="Z8" s="53" t="s">
        <v>22</v>
      </c>
      <c r="AA8" s="47">
        <f>IF(G21&gt;AA7,G21*0.011,0)</f>
        <v>0</v>
      </c>
      <c r="AB8" s="47">
        <f>IF(N21&gt;AA7,N21*0.011,0)</f>
        <v>378.92283000000003</v>
      </c>
    </row>
    <row r="9" spans="1:29" x14ac:dyDescent="0.25">
      <c r="D9" s="8">
        <v>6</v>
      </c>
      <c r="E9" s="9">
        <v>0</v>
      </c>
      <c r="F9" s="8"/>
      <c r="G9" s="8">
        <v>21</v>
      </c>
      <c r="H9" s="11">
        <v>1249.1300000000001</v>
      </c>
      <c r="I9" s="8"/>
      <c r="J9" s="8"/>
      <c r="K9" s="8">
        <v>6</v>
      </c>
      <c r="L9" s="9">
        <v>4824.2</v>
      </c>
      <c r="M9" s="8"/>
      <c r="N9" s="8">
        <v>21</v>
      </c>
      <c r="O9" s="9">
        <v>1421.55</v>
      </c>
      <c r="P9" s="8"/>
      <c r="Q9" s="8"/>
      <c r="R9" s="109" t="s">
        <v>2</v>
      </c>
      <c r="S9" s="110"/>
      <c r="T9" s="115">
        <f>T7-T6</f>
        <v>7222.2900000000081</v>
      </c>
      <c r="U9" s="116"/>
      <c r="W9" s="5"/>
    </row>
    <row r="10" spans="1:29" x14ac:dyDescent="0.25">
      <c r="D10" s="6">
        <v>7</v>
      </c>
      <c r="E10" s="7">
        <v>688.79</v>
      </c>
      <c r="F10" s="8"/>
      <c r="G10" s="6">
        <v>22</v>
      </c>
      <c r="H10" s="7">
        <v>643.95000000000005</v>
      </c>
      <c r="I10" s="8"/>
      <c r="J10" s="8"/>
      <c r="K10" s="6">
        <v>7</v>
      </c>
      <c r="L10" s="7">
        <v>0</v>
      </c>
      <c r="M10" s="8"/>
      <c r="N10" s="6">
        <v>22</v>
      </c>
      <c r="O10" s="7">
        <f>344.16+127.97+387.07</f>
        <v>859.2</v>
      </c>
      <c r="P10" s="38"/>
      <c r="Q10" s="8"/>
      <c r="R10" s="136" t="str">
        <f>IF(N21&gt;AA6,"¡FELICIDADES CARLOS!","SIGUE PARTICIPANDO")</f>
        <v>SIGUE PARTICIPANDO</v>
      </c>
      <c r="S10" s="136"/>
      <c r="T10" s="136"/>
      <c r="U10" s="136"/>
      <c r="Z10" s="53" t="s">
        <v>24</v>
      </c>
      <c r="AA10" s="41">
        <f>T7*0.1</f>
        <v>7500</v>
      </c>
    </row>
    <row r="11" spans="1:29" x14ac:dyDescent="0.25">
      <c r="D11" s="8">
        <v>8</v>
      </c>
      <c r="E11" s="9">
        <v>386.2</v>
      </c>
      <c r="F11" s="8"/>
      <c r="G11" s="8">
        <v>23</v>
      </c>
      <c r="H11" s="9">
        <v>0</v>
      </c>
      <c r="I11" s="8"/>
      <c r="J11" s="8"/>
      <c r="K11" s="8">
        <v>8</v>
      </c>
      <c r="L11" s="9">
        <v>0</v>
      </c>
      <c r="M11" s="8"/>
      <c r="N11" s="8">
        <v>23</v>
      </c>
      <c r="O11" s="9">
        <v>0.01</v>
      </c>
      <c r="P11" s="8"/>
      <c r="Q11" s="8"/>
      <c r="R11" s="136"/>
      <c r="S11" s="136"/>
      <c r="T11" s="136"/>
      <c r="U11" s="136"/>
      <c r="W11" s="5"/>
    </row>
    <row r="12" spans="1:29" x14ac:dyDescent="0.25">
      <c r="D12" s="6">
        <v>9</v>
      </c>
      <c r="E12" s="7">
        <v>5384.47</v>
      </c>
      <c r="F12" s="8"/>
      <c r="G12" s="6">
        <v>24</v>
      </c>
      <c r="H12" s="7">
        <v>0.01</v>
      </c>
      <c r="I12" s="8"/>
      <c r="J12" s="8"/>
      <c r="K12" s="6">
        <v>9</v>
      </c>
      <c r="L12" s="7">
        <v>0.01</v>
      </c>
      <c r="M12" s="8"/>
      <c r="N12" s="6">
        <v>24</v>
      </c>
      <c r="O12" s="7">
        <v>3102.71</v>
      </c>
      <c r="P12" s="8"/>
      <c r="Q12" s="8"/>
      <c r="R12" s="41"/>
      <c r="AB12" s="41"/>
    </row>
    <row r="13" spans="1:29" x14ac:dyDescent="0.25">
      <c r="D13" s="8">
        <v>10</v>
      </c>
      <c r="E13" s="9">
        <v>0.01</v>
      </c>
      <c r="F13" s="8"/>
      <c r="G13" s="8">
        <v>25</v>
      </c>
      <c r="H13" s="11">
        <v>0</v>
      </c>
      <c r="I13" s="8"/>
      <c r="J13" s="8"/>
      <c r="K13" s="8">
        <v>10</v>
      </c>
      <c r="L13" s="9">
        <v>0</v>
      </c>
      <c r="M13" s="8"/>
      <c r="N13" s="8">
        <v>25</v>
      </c>
      <c r="O13" s="9">
        <v>1378.45</v>
      </c>
      <c r="P13" s="8"/>
      <c r="R13" s="127" t="s">
        <v>33</v>
      </c>
      <c r="S13" s="127"/>
      <c r="T13" s="127"/>
      <c r="U13" s="127"/>
      <c r="AB13" s="41"/>
    </row>
    <row r="14" spans="1:29" x14ac:dyDescent="0.25">
      <c r="D14" s="6">
        <v>11</v>
      </c>
      <c r="E14" s="7">
        <v>0</v>
      </c>
      <c r="F14" s="8"/>
      <c r="G14" s="6">
        <v>26</v>
      </c>
      <c r="H14" s="7">
        <v>863.88</v>
      </c>
      <c r="I14" s="8"/>
      <c r="J14" s="8"/>
      <c r="K14" s="6">
        <v>11</v>
      </c>
      <c r="L14" s="7">
        <v>0</v>
      </c>
      <c r="M14" s="8"/>
      <c r="N14" s="6">
        <v>26</v>
      </c>
      <c r="O14" s="7">
        <v>0</v>
      </c>
      <c r="P14" s="8"/>
      <c r="R14" s="131" t="s">
        <v>40</v>
      </c>
      <c r="S14" s="131"/>
      <c r="T14" s="131"/>
      <c r="U14" s="131"/>
      <c r="Z14" s="105" t="s">
        <v>28</v>
      </c>
      <c r="AA14" s="105"/>
      <c r="AB14" s="41"/>
    </row>
    <row r="15" spans="1:29" x14ac:dyDescent="0.25">
      <c r="D15" s="8">
        <v>12</v>
      </c>
      <c r="E15" s="9">
        <v>128.87</v>
      </c>
      <c r="F15" s="8"/>
      <c r="G15" s="8">
        <v>27</v>
      </c>
      <c r="H15" s="11">
        <v>2195.7399999999998</v>
      </c>
      <c r="I15" s="8"/>
      <c r="J15" s="8"/>
      <c r="K15" s="8">
        <v>12</v>
      </c>
      <c r="L15" s="11">
        <v>1185.3399999999999</v>
      </c>
      <c r="M15" s="8"/>
      <c r="N15" s="8">
        <v>27</v>
      </c>
      <c r="O15" s="9">
        <f>4046.17+645.68</f>
        <v>4691.8500000000004</v>
      </c>
      <c r="P15" s="8"/>
      <c r="R15" s="132" t="s">
        <v>39</v>
      </c>
      <c r="S15" s="132"/>
      <c r="T15" s="125">
        <f>AVERAGE(E4:E18,H4:H19,L4:L18,O4:O19)</f>
        <v>1123.1718333333333</v>
      </c>
      <c r="U15" s="125"/>
      <c r="Z15" s="59"/>
      <c r="AA15" s="59" t="s">
        <v>29</v>
      </c>
    </row>
    <row r="16" spans="1:29" x14ac:dyDescent="0.25">
      <c r="D16" s="6">
        <v>13</v>
      </c>
      <c r="E16" s="7">
        <v>558.54</v>
      </c>
      <c r="F16" s="8"/>
      <c r="G16" s="6">
        <v>28</v>
      </c>
      <c r="H16" s="7">
        <v>326.72000000000003</v>
      </c>
      <c r="I16" s="8"/>
      <c r="J16" s="8"/>
      <c r="K16" s="6">
        <v>13</v>
      </c>
      <c r="L16" s="7">
        <v>4353.33</v>
      </c>
      <c r="M16" s="8"/>
      <c r="N16" s="6">
        <v>28</v>
      </c>
      <c r="O16" s="7">
        <v>0</v>
      </c>
      <c r="P16" s="8"/>
      <c r="R16" s="132" t="s">
        <v>38</v>
      </c>
      <c r="S16" s="132"/>
      <c r="T16" s="125">
        <f>AVERAGE(E4:E18,H4:H19)</f>
        <v>1098.0926666666667</v>
      </c>
      <c r="U16" s="125"/>
      <c r="V16" s="41"/>
      <c r="Z16" s="41"/>
      <c r="AA16" s="49"/>
    </row>
    <row r="17" spans="4:28" x14ac:dyDescent="0.25">
      <c r="D17" s="8">
        <v>14</v>
      </c>
      <c r="E17" s="9">
        <v>5961.75</v>
      </c>
      <c r="F17" s="8"/>
      <c r="G17" s="8">
        <v>29</v>
      </c>
      <c r="H17" s="9">
        <v>6028.26</v>
      </c>
      <c r="I17" s="8"/>
      <c r="J17" s="8"/>
      <c r="K17" s="8">
        <v>14</v>
      </c>
      <c r="L17" s="9">
        <v>2142</v>
      </c>
      <c r="M17" s="8"/>
      <c r="N17" s="8">
        <v>29</v>
      </c>
      <c r="O17" s="11">
        <v>0.01</v>
      </c>
      <c r="P17" s="8"/>
      <c r="R17" s="132" t="s">
        <v>37</v>
      </c>
      <c r="S17" s="132"/>
      <c r="T17" s="123">
        <f>AVERAGE(L4:L18,O4:O19)</f>
        <v>1148.2510000000002</v>
      </c>
      <c r="U17" s="123"/>
      <c r="V17" s="41"/>
      <c r="Z17" s="61"/>
    </row>
    <row r="18" spans="4:28" x14ac:dyDescent="0.25">
      <c r="D18" s="6">
        <v>15</v>
      </c>
      <c r="E18" s="7">
        <v>2144.58</v>
      </c>
      <c r="F18" s="8"/>
      <c r="G18" s="6">
        <v>30</v>
      </c>
      <c r="H18" s="7">
        <v>256.89</v>
      </c>
      <c r="I18" s="8"/>
      <c r="J18" s="8"/>
      <c r="K18" s="6">
        <v>15</v>
      </c>
      <c r="L18" s="7">
        <v>3011.94</v>
      </c>
      <c r="M18" s="8"/>
      <c r="N18" s="6">
        <v>30</v>
      </c>
      <c r="O18" s="7">
        <v>0.01</v>
      </c>
      <c r="P18" s="8"/>
      <c r="R18" s="132"/>
      <c r="S18" s="132"/>
      <c r="T18" s="124"/>
      <c r="U18" s="124"/>
      <c r="Z18" s="61"/>
    </row>
    <row r="19" spans="4:28" ht="15" customHeight="1" x14ac:dyDescent="0.25">
      <c r="D19" s="8"/>
      <c r="E19" s="11"/>
      <c r="F19" s="8"/>
      <c r="G19" s="8">
        <v>31</v>
      </c>
      <c r="H19" s="11"/>
      <c r="I19" s="8"/>
      <c r="J19" s="8"/>
      <c r="K19" s="8"/>
      <c r="L19" s="11"/>
      <c r="M19" s="8"/>
      <c r="N19" s="8">
        <v>31</v>
      </c>
      <c r="O19" s="11"/>
      <c r="P19" s="8"/>
      <c r="Q19" s="41"/>
      <c r="R19" s="132"/>
      <c r="S19" s="132"/>
      <c r="T19" s="123"/>
      <c r="U19" s="123"/>
      <c r="X19" s="51"/>
      <c r="Y19" s="51"/>
      <c r="Z19" s="61"/>
    </row>
    <row r="20" spans="4:28" ht="15" customHeight="1" x14ac:dyDescent="0.25">
      <c r="D20" s="8"/>
      <c r="E20" s="38"/>
      <c r="F20" s="8"/>
      <c r="G20" s="8"/>
      <c r="H20" s="65"/>
      <c r="I20" s="8"/>
      <c r="J20" s="8"/>
      <c r="K20" s="8"/>
      <c r="L20" s="38"/>
      <c r="M20" s="8"/>
      <c r="N20" s="8"/>
      <c r="O20" s="9"/>
      <c r="P20" s="8"/>
      <c r="S20" s="41"/>
      <c r="X20" s="51"/>
      <c r="Y20" s="51"/>
      <c r="Z20" s="61"/>
      <c r="AB20" s="41"/>
    </row>
    <row r="21" spans="4:28" x14ac:dyDescent="0.25">
      <c r="D21" s="89" t="s">
        <v>1</v>
      </c>
      <c r="E21" s="89"/>
      <c r="F21" s="89"/>
      <c r="G21" s="108">
        <f>SUM(E4:E18,H4:H19)</f>
        <v>32942.78</v>
      </c>
      <c r="H21" s="108"/>
      <c r="I21" s="8"/>
      <c r="J21" s="8"/>
      <c r="K21" s="89" t="s">
        <v>1</v>
      </c>
      <c r="L21" s="89"/>
      <c r="M21" s="89"/>
      <c r="N21" s="108">
        <f>SUM(L4:L18,O4:O19)</f>
        <v>34447.530000000006</v>
      </c>
      <c r="O21" s="108"/>
      <c r="P21" s="8"/>
      <c r="R21" s="105"/>
      <c r="S21" s="105"/>
      <c r="X21"/>
      <c r="Y21" s="9"/>
      <c r="Z21" s="61"/>
      <c r="AB21" s="41"/>
    </row>
    <row r="22" spans="4:28" x14ac:dyDescent="0.25">
      <c r="D22" s="89" t="s">
        <v>3</v>
      </c>
      <c r="E22" s="89"/>
      <c r="F22" s="89"/>
      <c r="G22" s="90">
        <f>G21/AA6</f>
        <v>0.87847413333333335</v>
      </c>
      <c r="H22" s="90"/>
      <c r="I22" s="8"/>
      <c r="J22" s="8"/>
      <c r="K22" s="89" t="s">
        <v>3</v>
      </c>
      <c r="L22" s="89"/>
      <c r="M22" s="89"/>
      <c r="N22" s="90">
        <f>N21/AA6</f>
        <v>0.91860080000000022</v>
      </c>
      <c r="O22" s="90"/>
      <c r="P22" s="8"/>
      <c r="R22" s="66"/>
      <c r="T22" s="41"/>
      <c r="X22" s="52"/>
      <c r="Y22" s="52"/>
      <c r="Z22" s="61"/>
      <c r="AB22" s="41"/>
    </row>
    <row r="23" spans="4:28" x14ac:dyDescent="0.25">
      <c r="D23" s="89" t="s">
        <v>14</v>
      </c>
      <c r="E23" s="89"/>
      <c r="F23" s="89"/>
      <c r="G23" s="95">
        <f>AA8</f>
        <v>0</v>
      </c>
      <c r="H23" s="95"/>
      <c r="I23" s="8"/>
      <c r="J23" s="8"/>
      <c r="K23" s="89" t="s">
        <v>14</v>
      </c>
      <c r="L23" s="89"/>
      <c r="M23" s="89"/>
      <c r="N23" s="94">
        <f>AB8</f>
        <v>378.92283000000003</v>
      </c>
      <c r="O23" s="94"/>
      <c r="P23" s="8"/>
      <c r="Z23" s="61"/>
    </row>
    <row r="24" spans="4:28" x14ac:dyDescent="0.25">
      <c r="D24" s="89" t="s">
        <v>2</v>
      </c>
      <c r="E24" s="89"/>
      <c r="F24" s="89"/>
      <c r="G24" s="93">
        <f>AA6-G21</f>
        <v>4557.2200000000012</v>
      </c>
      <c r="H24" s="93"/>
      <c r="K24" s="89" t="s">
        <v>2</v>
      </c>
      <c r="L24" s="89"/>
      <c r="M24" s="89"/>
      <c r="N24" s="93">
        <f>AA6-N21</f>
        <v>3052.4699999999939</v>
      </c>
      <c r="O24" s="93"/>
      <c r="X24" s="50"/>
      <c r="Y24" s="50"/>
      <c r="Z24" s="61"/>
    </row>
    <row r="25" spans="4:28" ht="12" customHeight="1" x14ac:dyDescent="0.25">
      <c r="L25" s="41"/>
      <c r="Z25" s="62"/>
    </row>
    <row r="26" spans="4:28" ht="12" customHeight="1" x14ac:dyDescent="0.25">
      <c r="E26" s="41"/>
      <c r="L26" s="47"/>
      <c r="M26" s="47"/>
      <c r="N26" s="47"/>
      <c r="O26" s="47"/>
    </row>
    <row r="27" spans="4:28" ht="15.75" x14ac:dyDescent="0.25">
      <c r="D27" s="96" t="s">
        <v>15</v>
      </c>
      <c r="E27" s="97"/>
      <c r="F27" s="97"/>
      <c r="G27" s="97"/>
      <c r="H27" s="98"/>
    </row>
    <row r="28" spans="4:28" ht="12" customHeight="1" x14ac:dyDescent="0.25">
      <c r="D28" s="75"/>
      <c r="E28" s="75"/>
      <c r="F28" s="75"/>
      <c r="G28" s="75"/>
      <c r="H28" s="75"/>
      <c r="R28" s="8"/>
    </row>
    <row r="29" spans="4:28" x14ac:dyDescent="0.25">
      <c r="D29">
        <v>1</v>
      </c>
      <c r="E29" s="49">
        <v>387.4</v>
      </c>
      <c r="G29">
        <v>5</v>
      </c>
      <c r="H29" s="49">
        <v>0</v>
      </c>
      <c r="K29" s="133" t="s">
        <v>16</v>
      </c>
      <c r="L29" s="134"/>
      <c r="M29" s="135"/>
      <c r="N29" s="102">
        <f>SUM(E29:E32,H29:H32)</f>
        <v>387.4</v>
      </c>
      <c r="O29" s="103"/>
      <c r="Q29" s="8"/>
      <c r="R29" s="8"/>
    </row>
    <row r="30" spans="4:28" x14ac:dyDescent="0.25">
      <c r="D30">
        <v>2</v>
      </c>
      <c r="E30" s="47">
        <v>0</v>
      </c>
      <c r="G30">
        <v>6</v>
      </c>
      <c r="H30" s="47">
        <v>0</v>
      </c>
      <c r="K30" s="121" t="s">
        <v>3</v>
      </c>
      <c r="L30" s="121"/>
      <c r="M30" s="121"/>
      <c r="N30" s="122">
        <f>N29/AA10</f>
        <v>5.1653333333333329E-2</v>
      </c>
      <c r="O30" s="122"/>
      <c r="Q30" s="8"/>
      <c r="R30" s="38"/>
    </row>
    <row r="31" spans="4:28" x14ac:dyDescent="0.25">
      <c r="D31">
        <v>3</v>
      </c>
      <c r="E31" s="49">
        <v>0</v>
      </c>
      <c r="G31">
        <v>7</v>
      </c>
      <c r="H31" s="49">
        <v>0</v>
      </c>
      <c r="Q31" s="8"/>
      <c r="X31"/>
    </row>
    <row r="32" spans="4:28" x14ac:dyDescent="0.25">
      <c r="D32">
        <v>4</v>
      </c>
      <c r="E32" s="47">
        <v>0</v>
      </c>
      <c r="G32">
        <v>8</v>
      </c>
      <c r="H32" s="47">
        <v>0</v>
      </c>
      <c r="X32"/>
    </row>
    <row r="33" spans="5:24" x14ac:dyDescent="0.25">
      <c r="E33" s="59"/>
      <c r="H33" s="59"/>
      <c r="M33" s="41"/>
      <c r="R33" s="41"/>
      <c r="X33"/>
    </row>
  </sheetData>
  <mergeCells count="49">
    <mergeCell ref="K30:M30"/>
    <mergeCell ref="N30:O30"/>
    <mergeCell ref="T19:U19"/>
    <mergeCell ref="T18:U18"/>
    <mergeCell ref="T15:U15"/>
    <mergeCell ref="R19:S19"/>
    <mergeCell ref="R18:S18"/>
    <mergeCell ref="R15:S15"/>
    <mergeCell ref="R16:S16"/>
    <mergeCell ref="T16:U16"/>
    <mergeCell ref="N23:O23"/>
    <mergeCell ref="Z14:AA14"/>
    <mergeCell ref="R7:S7"/>
    <mergeCell ref="D2:H2"/>
    <mergeCell ref="K2:O2"/>
    <mergeCell ref="R4:U5"/>
    <mergeCell ref="R6:S6"/>
    <mergeCell ref="T6:U6"/>
    <mergeCell ref="R10:U11"/>
    <mergeCell ref="R8:S8"/>
    <mergeCell ref="R9:S9"/>
    <mergeCell ref="T9:U9"/>
    <mergeCell ref="T8:U8"/>
    <mergeCell ref="D27:H27"/>
    <mergeCell ref="K29:M29"/>
    <mergeCell ref="N29:O29"/>
    <mergeCell ref="Y2:AB3"/>
    <mergeCell ref="Y5:AC5"/>
    <mergeCell ref="T7:U7"/>
    <mergeCell ref="D21:F21"/>
    <mergeCell ref="G21:H21"/>
    <mergeCell ref="K21:M21"/>
    <mergeCell ref="N21:O21"/>
    <mergeCell ref="D24:F24"/>
    <mergeCell ref="G24:H24"/>
    <mergeCell ref="K24:M24"/>
    <mergeCell ref="N24:O24"/>
    <mergeCell ref="D23:F23"/>
    <mergeCell ref="K23:M23"/>
    <mergeCell ref="G23:H23"/>
    <mergeCell ref="R13:U13"/>
    <mergeCell ref="R14:U14"/>
    <mergeCell ref="D22:F22"/>
    <mergeCell ref="G22:H22"/>
    <mergeCell ref="K22:M22"/>
    <mergeCell ref="N22:O22"/>
    <mergeCell ref="R17:S17"/>
    <mergeCell ref="T17:U17"/>
    <mergeCell ref="R21:S21"/>
  </mergeCells>
  <conditionalFormatting sqref="G24:H24">
    <cfRule type="cellIs" dxfId="87" priority="20" operator="lessThan">
      <formula>0</formula>
    </cfRule>
  </conditionalFormatting>
  <conditionalFormatting sqref="N24:O24">
    <cfRule type="cellIs" dxfId="86" priority="21" operator="lessThan">
      <formula>0</formula>
    </cfRule>
  </conditionalFormatting>
  <conditionalFormatting sqref="G21:H21">
    <cfRule type="cellIs" dxfId="85" priority="19" operator="greaterThan">
      <formula>AA6</formula>
    </cfRule>
  </conditionalFormatting>
  <conditionalFormatting sqref="N21:O21">
    <cfRule type="cellIs" dxfId="84" priority="18" operator="greaterThan">
      <formula>$AA$6</formula>
    </cfRule>
  </conditionalFormatting>
  <conditionalFormatting sqref="T6">
    <cfRule type="cellIs" dxfId="83" priority="17" operator="greaterThan">
      <formula>$T$7</formula>
    </cfRule>
  </conditionalFormatting>
  <conditionalFormatting sqref="R10">
    <cfRule type="containsText" dxfId="82" priority="16" operator="containsText" text="¡FELICIDADES CARLOS!">
      <formula>NOT(ISERROR(SEARCH("¡FELICIDADES CARLOS!",R10)))</formula>
    </cfRule>
  </conditionalFormatting>
  <conditionalFormatting sqref="R4">
    <cfRule type="containsText" dxfId="81" priority="15" operator="containsText" text="¡FELICIDADES JUAN!">
      <formula>NOT(ISERROR(SEARCH("¡FELICIDADES JUAN!",R4)))</formula>
    </cfRule>
  </conditionalFormatting>
  <conditionalFormatting sqref="T8">
    <cfRule type="cellIs" dxfId="80" priority="14" operator="greaterThan">
      <formula>0.95</formula>
    </cfRule>
  </conditionalFormatting>
  <conditionalFormatting sqref="N22:O22">
    <cfRule type="cellIs" dxfId="79" priority="13" operator="greaterThan">
      <formula>0.91</formula>
    </cfRule>
  </conditionalFormatting>
  <conditionalFormatting sqref="G22:H22">
    <cfRule type="cellIs" dxfId="78" priority="12" operator="greaterThan">
      <formula>0.95</formula>
    </cfRule>
  </conditionalFormatting>
  <conditionalFormatting sqref="T9">
    <cfRule type="cellIs" dxfId="77" priority="11" operator="lessThan">
      <formula>0</formula>
    </cfRule>
  </conditionalFormatting>
  <conditionalFormatting sqref="N23:O23">
    <cfRule type="cellIs" dxfId="76" priority="10" operator="greaterThan">
      <formula>0</formula>
    </cfRule>
  </conditionalFormatting>
  <conditionalFormatting sqref="X24:Y24">
    <cfRule type="cellIs" dxfId="75" priority="9" operator="lessThan">
      <formula>0</formula>
    </cfRule>
  </conditionalFormatting>
  <conditionalFormatting sqref="N29">
    <cfRule type="cellIs" dxfId="74" priority="8" operator="greaterThan">
      <formula>44000</formula>
    </cfRule>
  </conditionalFormatting>
  <conditionalFormatting sqref="T7">
    <cfRule type="cellIs" dxfId="73" priority="7" operator="lessThan">
      <formula>$T$6</formula>
    </cfRule>
  </conditionalFormatting>
  <conditionalFormatting sqref="E4:E18 O4:O19 H4:H19 L4:L18">
    <cfRule type="cellIs" dxfId="72" priority="2" operator="equal">
      <formula>-0.01</formula>
    </cfRule>
    <cfRule type="cellIs" dxfId="71" priority="6" operator="equal">
      <formula>0.01</formula>
    </cfRule>
  </conditionalFormatting>
  <conditionalFormatting sqref="G23:H23">
    <cfRule type="cellIs" dxfId="70" priority="5" operator="greaterThan">
      <formula>0</formula>
    </cfRule>
  </conditionalFormatting>
  <conditionalFormatting sqref="N29:O29">
    <cfRule type="cellIs" dxfId="69" priority="4" operator="greaterThan">
      <formula>$AA$10</formula>
    </cfRule>
  </conditionalFormatting>
  <conditionalFormatting sqref="N30:O30">
    <cfRule type="cellIs" dxfId="68" priority="3" operator="greaterThan">
      <formula>0</formula>
    </cfRule>
  </conditionalFormatting>
  <conditionalFormatting sqref="N29">
    <cfRule type="cellIs" dxfId="67" priority="22" operator="greaterThan">
      <formula>$T$6&gt;88000</formula>
    </cfRule>
  </conditionalFormatting>
  <conditionalFormatting sqref="R4:U5">
    <cfRule type="containsText" dxfId="66" priority="1" operator="containsText" text="¡FELICIDADES JORGE!">
      <formula>NOT(ISERROR(SEARCH("¡FELICIDADES JORGE!",R4)))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CBA65-BC25-40EC-BDD0-C1A7C31FE198}">
  <dimension ref="B1:AK187"/>
  <sheetViews>
    <sheetView zoomScaleNormal="100" workbookViewId="0">
      <selection activeCell="D126" sqref="D126"/>
    </sheetView>
  </sheetViews>
  <sheetFormatPr baseColWidth="10" defaultRowHeight="15" x14ac:dyDescent="0.25"/>
  <cols>
    <col min="1" max="1" width="3.140625" customWidth="1"/>
    <col min="2" max="2" width="9.7109375" customWidth="1"/>
    <col min="3" max="3" width="6" customWidth="1"/>
    <col min="4" max="5" width="19" customWidth="1"/>
    <col min="6" max="6" width="21.42578125" customWidth="1"/>
    <col min="7" max="9" width="5.85546875" customWidth="1"/>
    <col min="10" max="10" width="10.140625" customWidth="1"/>
    <col min="11" max="11" width="4.42578125" customWidth="1"/>
    <col min="12" max="12" width="4.28515625" customWidth="1"/>
    <col min="13" max="13" width="6.7109375" customWidth="1"/>
    <col min="14" max="16" width="19" customWidth="1"/>
    <col min="17" max="17" width="6" customWidth="1"/>
  </cols>
  <sheetData>
    <row r="1" spans="5:10" ht="6" customHeight="1" x14ac:dyDescent="0.25"/>
    <row r="2" spans="5:10" x14ac:dyDescent="0.25">
      <c r="E2" t="s">
        <v>6</v>
      </c>
      <c r="I2" t="str">
        <f>B2&amp;E2&amp;2019</f>
        <v xml:space="preserve">   2019</v>
      </c>
      <c r="J2" t="s">
        <v>6</v>
      </c>
    </row>
    <row r="57" spans="2:18" ht="38.25" customHeight="1" x14ac:dyDescent="0.25"/>
    <row r="58" spans="2:18" ht="12.75" customHeight="1" x14ac:dyDescent="0.25">
      <c r="B58" s="84"/>
      <c r="D58" s="34" t="str">
        <f>'Concentrado septiembre'!D2</f>
        <v>Jorge Carrasco</v>
      </c>
      <c r="E58" s="72" t="str">
        <f>'Concentrado septiembre'!K2</f>
        <v>Carlos Ponce</v>
      </c>
      <c r="F58" s="84"/>
      <c r="G58" s="75"/>
      <c r="H58" s="16"/>
      <c r="I58" s="16"/>
      <c r="J58" s="16"/>
      <c r="K58" s="16"/>
      <c r="L58" s="16"/>
      <c r="M58" s="16"/>
    </row>
    <row r="59" spans="2:18" x14ac:dyDescent="0.25">
      <c r="E59" s="77"/>
    </row>
    <row r="60" spans="2:18" x14ac:dyDescent="0.25">
      <c r="C60" t="s">
        <v>13</v>
      </c>
      <c r="D60" s="11" t="s">
        <v>36</v>
      </c>
      <c r="E60" s="60" t="s">
        <v>25</v>
      </c>
      <c r="F60" t="s">
        <v>10</v>
      </c>
      <c r="G60" t="s">
        <v>11</v>
      </c>
      <c r="H60" s="8" t="s">
        <v>12</v>
      </c>
      <c r="I60" t="s">
        <v>23</v>
      </c>
      <c r="J60" s="8"/>
      <c r="P60" s="8"/>
      <c r="Q60" s="8"/>
      <c r="R60" s="8"/>
    </row>
    <row r="61" spans="2:18" hidden="1" x14ac:dyDescent="0.25">
      <c r="B61" s="78" t="e">
        <f>1 &amp;#REF!&amp;#REF!&amp;#REF!</f>
        <v>#REF!</v>
      </c>
      <c r="D61" s="11">
        <f>'Concentrado septiembre'!E4</f>
        <v>0</v>
      </c>
      <c r="E61" s="11">
        <f>'Concentrado septiembre'!L4</f>
        <v>0</v>
      </c>
      <c r="F61" s="43">
        <f>SUM(Tabla13[[#This Row],[Jorge]]+Tabla13[[#This Row],[Columna1]])</f>
        <v>0</v>
      </c>
      <c r="H61" s="8"/>
      <c r="J61" s="8"/>
      <c r="P61" s="8"/>
      <c r="Q61" s="8"/>
      <c r="R61" s="8"/>
    </row>
    <row r="62" spans="2:18" x14ac:dyDescent="0.25">
      <c r="B62" s="8"/>
      <c r="C62">
        <v>1</v>
      </c>
      <c r="D62" s="11">
        <f>D61</f>
        <v>0</v>
      </c>
      <c r="E62" s="11">
        <f>E61</f>
        <v>0</v>
      </c>
      <c r="F62" s="43">
        <f>SUM(Tabla13[[#This Row],[Jorge]]+Tabla13[[#This Row],[Columna1]])</f>
        <v>0</v>
      </c>
      <c r="G62" s="43">
        <f>'Concentrado septiembre'!AA6</f>
        <v>37500</v>
      </c>
      <c r="H62" s="38">
        <f>'Concentrado septiembre'!T7</f>
        <v>75000</v>
      </c>
      <c r="I62" s="41">
        <f>'Concentrado septiembre'!T7*0.95</f>
        <v>71250</v>
      </c>
      <c r="J62" s="8" t="s">
        <v>5</v>
      </c>
      <c r="P62" s="81"/>
      <c r="Q62" s="81"/>
      <c r="R62" s="81"/>
    </row>
    <row r="63" spans="2:18" hidden="1" x14ac:dyDescent="0.25">
      <c r="B63" s="78" t="e">
        <f>2&amp;#REF!&amp;#REF!&amp;#REF!</f>
        <v>#REF!</v>
      </c>
      <c r="D63" s="11">
        <f>'Concentrado septiembre'!E5</f>
        <v>993.6</v>
      </c>
      <c r="E63" s="11">
        <f>'Concentrado septiembre'!L5</f>
        <v>0.01</v>
      </c>
      <c r="F63" s="43">
        <f>SUM(Tabla13[[#This Row],[Jorge]]+Tabla13[[#This Row],[Columna1]])</f>
        <v>993.61</v>
      </c>
      <c r="H63" s="8"/>
      <c r="J63" s="8"/>
      <c r="P63" s="81"/>
      <c r="Q63" s="81"/>
      <c r="R63" s="81"/>
    </row>
    <row r="64" spans="2:18" x14ac:dyDescent="0.25">
      <c r="B64" s="8"/>
      <c r="C64">
        <v>2</v>
      </c>
      <c r="D64" s="11">
        <f>D62+D63</f>
        <v>993.6</v>
      </c>
      <c r="E64" s="11">
        <f>E62+E63</f>
        <v>0.01</v>
      </c>
      <c r="F64" s="43">
        <f>SUM(Tabla13[[#This Row],[Jorge]]+Tabla13[[#This Row],[Columna1]])</f>
        <v>993.61</v>
      </c>
      <c r="G64" s="43">
        <f>G62</f>
        <v>37500</v>
      </c>
      <c r="H64" s="38">
        <f>H62</f>
        <v>75000</v>
      </c>
      <c r="I64" s="41">
        <f>I62</f>
        <v>71250</v>
      </c>
      <c r="J64" s="8"/>
      <c r="P64" s="83"/>
      <c r="Q64" s="81"/>
      <c r="R64" s="81"/>
    </row>
    <row r="65" spans="2:21" hidden="1" x14ac:dyDescent="0.25">
      <c r="B65" s="78" t="e">
        <f>3&amp;#REF!&amp;#REF!&amp;#REF!</f>
        <v>#REF!</v>
      </c>
      <c r="D65" s="11">
        <f>'Concentrado septiembre'!E6</f>
        <v>0.01</v>
      </c>
      <c r="E65" s="11">
        <f>'Concentrado septiembre'!L6</f>
        <v>3478.5</v>
      </c>
      <c r="F65" s="43">
        <f>SUM(Tabla13[[#This Row],[Jorge]]+Tabla13[[#This Row],[Columna1]])</f>
        <v>3478.51</v>
      </c>
      <c r="H65" s="8"/>
      <c r="J65" s="8"/>
      <c r="P65" s="80"/>
      <c r="Q65" s="80"/>
      <c r="R65" s="80"/>
    </row>
    <row r="66" spans="2:21" x14ac:dyDescent="0.25">
      <c r="B66" s="8"/>
      <c r="C66">
        <v>3</v>
      </c>
      <c r="D66" s="11">
        <f>D64+D65</f>
        <v>993.61</v>
      </c>
      <c r="E66" s="11">
        <f>E64+E65</f>
        <v>3478.51</v>
      </c>
      <c r="F66" s="43">
        <f>SUM(Tabla13[[#This Row],[Jorge]]+Tabla13[[#This Row],[Columna1]])</f>
        <v>4472.12</v>
      </c>
      <c r="G66" s="43">
        <f>G64</f>
        <v>37500</v>
      </c>
      <c r="H66" s="38">
        <f>H64</f>
        <v>75000</v>
      </c>
      <c r="I66" s="41">
        <f>I64</f>
        <v>71250</v>
      </c>
      <c r="P66" s="82"/>
      <c r="Q66" s="27"/>
      <c r="R66" s="27"/>
    </row>
    <row r="67" spans="2:21" hidden="1" x14ac:dyDescent="0.25">
      <c r="B67" s="78"/>
      <c r="D67" s="11">
        <f>'Concentrado septiembre'!E7</f>
        <v>300</v>
      </c>
      <c r="E67" s="11">
        <f>'Concentrado septiembre'!L7</f>
        <v>0</v>
      </c>
      <c r="F67" s="43">
        <f>SUM(Tabla13[[#This Row],[Jorge]]+Tabla13[[#This Row],[Columna1]])</f>
        <v>300</v>
      </c>
      <c r="H67" s="8"/>
      <c r="J67" s="8"/>
      <c r="P67" s="79"/>
      <c r="Q67" s="28"/>
      <c r="R67" s="28"/>
    </row>
    <row r="68" spans="2:21" x14ac:dyDescent="0.25">
      <c r="B68" s="8"/>
      <c r="C68">
        <v>4</v>
      </c>
      <c r="D68" s="11">
        <f>D66+D67</f>
        <v>1293.6100000000001</v>
      </c>
      <c r="E68" s="11">
        <f>E66+E67</f>
        <v>3478.51</v>
      </c>
      <c r="F68" s="43">
        <f>SUM(Tabla13[[#This Row],[Jorge]]+Tabla13[[#This Row],[Columna1]])</f>
        <v>4772.1200000000008</v>
      </c>
      <c r="G68" s="43">
        <f>G66</f>
        <v>37500</v>
      </c>
      <c r="H68" s="38">
        <f>H66</f>
        <v>75000</v>
      </c>
      <c r="I68" s="41">
        <f>I66</f>
        <v>71250</v>
      </c>
      <c r="J68" s="8"/>
      <c r="P68" s="16"/>
      <c r="Q68" s="29"/>
      <c r="R68" s="29"/>
    </row>
    <row r="69" spans="2:21" hidden="1" x14ac:dyDescent="0.25">
      <c r="B69" s="78"/>
      <c r="D69" s="11">
        <f>'Concentrado septiembre'!E8</f>
        <v>1938.79</v>
      </c>
      <c r="E69" s="11">
        <f>'Concentrado septiembre'!L8</f>
        <v>2161.0100000000002</v>
      </c>
      <c r="F69" s="43">
        <f>SUM(Tabla13[[#This Row],[Jorge]]+Tabla13[[#This Row],[Columna1]])</f>
        <v>4099.8</v>
      </c>
      <c r="H69" s="8"/>
      <c r="J69" s="8"/>
      <c r="P69" s="79"/>
      <c r="Q69" s="30"/>
      <c r="R69" s="30"/>
    </row>
    <row r="70" spans="2:21" x14ac:dyDescent="0.25">
      <c r="B70" s="8"/>
      <c r="C70">
        <v>5</v>
      </c>
      <c r="D70" s="11">
        <f>D68+D69</f>
        <v>3232.4</v>
      </c>
      <c r="E70" s="11">
        <f>E68+E69</f>
        <v>5639.52</v>
      </c>
      <c r="F70" s="43">
        <f>SUM(Tabla13[[#This Row],[Jorge]]+Tabla13[[#This Row],[Columna1]])</f>
        <v>8871.92</v>
      </c>
      <c r="G70" s="43">
        <f>G68</f>
        <v>37500</v>
      </c>
      <c r="H70" s="38">
        <f>H68</f>
        <v>75000</v>
      </c>
      <c r="I70" s="41">
        <f>I68</f>
        <v>71250</v>
      </c>
      <c r="J70" s="8"/>
      <c r="P70" s="16"/>
      <c r="Q70" s="27"/>
      <c r="R70" s="27"/>
      <c r="T70" s="5"/>
      <c r="U70" s="5"/>
    </row>
    <row r="71" spans="2:21" hidden="1" x14ac:dyDescent="0.25">
      <c r="B71" s="78"/>
      <c r="D71" s="11">
        <f>'Concentrado septiembre'!E9</f>
        <v>0</v>
      </c>
      <c r="E71" s="11">
        <f>'Concentrado septiembre'!L9</f>
        <v>4824.2</v>
      </c>
      <c r="F71" s="43">
        <f>SUM(Tabla13[[#This Row],[Jorge]]+Tabla13[[#This Row],[Columna1]])</f>
        <v>4824.2</v>
      </c>
      <c r="H71" s="8"/>
      <c r="I71" s="11"/>
      <c r="J71" s="8"/>
      <c r="P71" s="79"/>
      <c r="Q71" s="31"/>
      <c r="R71" s="31"/>
      <c r="T71" s="5"/>
      <c r="U71" s="5"/>
    </row>
    <row r="72" spans="2:21" x14ac:dyDescent="0.25">
      <c r="B72" s="8"/>
      <c r="C72">
        <v>6</v>
      </c>
      <c r="D72" s="11">
        <f>D70+D71</f>
        <v>3232.4</v>
      </c>
      <c r="E72" s="11">
        <f>E70+E71</f>
        <v>10463.720000000001</v>
      </c>
      <c r="F72" s="43">
        <f>SUM(Tabla13[[#This Row],[Jorge]]+Tabla13[[#This Row],[Columna1]])</f>
        <v>13696.12</v>
      </c>
      <c r="G72" s="43">
        <f>G70</f>
        <v>37500</v>
      </c>
      <c r="H72" s="38">
        <f>H70</f>
        <v>75000</v>
      </c>
      <c r="I72" s="41">
        <f>I70</f>
        <v>71250</v>
      </c>
      <c r="J72" s="8"/>
      <c r="P72" s="81"/>
      <c r="Q72" s="81"/>
      <c r="R72" s="81"/>
    </row>
    <row r="73" spans="2:21" hidden="1" x14ac:dyDescent="0.25">
      <c r="B73" s="78"/>
      <c r="D73" s="11">
        <f>'Concentrado septiembre'!E10</f>
        <v>688.79</v>
      </c>
      <c r="E73" s="11">
        <f>'Concentrado septiembre'!L10</f>
        <v>0</v>
      </c>
      <c r="F73" s="43">
        <f>SUM(Tabla13[[#This Row],[Jorge]]+Tabla13[[#This Row],[Columna1]])</f>
        <v>688.79</v>
      </c>
      <c r="H73" s="8"/>
      <c r="I73" s="11"/>
      <c r="P73" s="81"/>
      <c r="Q73" s="81"/>
      <c r="R73" s="81"/>
    </row>
    <row r="74" spans="2:21" x14ac:dyDescent="0.25">
      <c r="B74" s="8"/>
      <c r="C74">
        <v>7</v>
      </c>
      <c r="D74" s="11">
        <f>D72+D73</f>
        <v>3921.19</v>
      </c>
      <c r="E74" s="11">
        <f>E72+E73</f>
        <v>10463.720000000001</v>
      </c>
      <c r="F74" s="43">
        <f>SUM(Tabla13[[#This Row],[Jorge]]+Tabla13[[#This Row],[Columna1]])</f>
        <v>14384.910000000002</v>
      </c>
      <c r="G74" s="43">
        <f>G72</f>
        <v>37500</v>
      </c>
      <c r="H74" s="38">
        <f>H72</f>
        <v>75000</v>
      </c>
      <c r="I74" s="41">
        <f>I72</f>
        <v>71250</v>
      </c>
      <c r="J74" s="8"/>
      <c r="P74" s="81"/>
      <c r="Q74" s="81"/>
      <c r="R74" s="81"/>
      <c r="T74" s="5"/>
      <c r="U74" s="5"/>
    </row>
    <row r="75" spans="2:21" hidden="1" x14ac:dyDescent="0.25">
      <c r="B75" s="78"/>
      <c r="D75" s="11">
        <f>'Concentrado septiembre'!E11</f>
        <v>386.2</v>
      </c>
      <c r="E75" s="11">
        <f>'Concentrado septiembre'!L11</f>
        <v>0</v>
      </c>
      <c r="F75" s="43">
        <f>SUM(Tabla13[[#This Row],[Jorge]]+Tabla13[[#This Row],[Columna1]])</f>
        <v>386.2</v>
      </c>
      <c r="H75" s="8"/>
      <c r="I75" s="11"/>
      <c r="J75" s="8"/>
      <c r="P75" s="80"/>
      <c r="Q75" s="80"/>
      <c r="R75" s="80"/>
      <c r="T75" s="5"/>
      <c r="U75" s="5"/>
    </row>
    <row r="76" spans="2:21" x14ac:dyDescent="0.25">
      <c r="B76" s="8"/>
      <c r="C76">
        <v>8</v>
      </c>
      <c r="D76" s="11">
        <f>D74+D75</f>
        <v>4307.3900000000003</v>
      </c>
      <c r="E76" s="11">
        <f>E74+E75</f>
        <v>10463.720000000001</v>
      </c>
      <c r="F76" s="43">
        <f>SUM(Tabla13[[#This Row],[Jorge]]+Tabla13[[#This Row],[Columna1]])</f>
        <v>14771.11</v>
      </c>
      <c r="G76" s="43">
        <f>G74</f>
        <v>37500</v>
      </c>
      <c r="H76" s="38">
        <f>H74</f>
        <v>75000</v>
      </c>
      <c r="I76" s="41">
        <f>I74</f>
        <v>71250</v>
      </c>
      <c r="J76" s="8"/>
      <c r="P76" s="8"/>
      <c r="Q76" s="8"/>
      <c r="R76" s="8"/>
    </row>
    <row r="77" spans="2:21" hidden="1" x14ac:dyDescent="0.25">
      <c r="B77" s="78"/>
      <c r="D77" s="11">
        <f>'Concentrado septiembre'!E12</f>
        <v>5384.47</v>
      </c>
      <c r="E77" s="11">
        <f>'Concentrado septiembre'!L12</f>
        <v>0.01</v>
      </c>
      <c r="F77" s="43">
        <f>SUM(Tabla13[[#This Row],[Jorge]]+Tabla13[[#This Row],[Columna1]])</f>
        <v>5384.4800000000005</v>
      </c>
      <c r="H77" s="8"/>
      <c r="I77" s="11"/>
      <c r="J77" s="8"/>
      <c r="P77" s="8"/>
      <c r="Q77" s="8"/>
      <c r="R77" s="8"/>
    </row>
    <row r="78" spans="2:21" x14ac:dyDescent="0.25">
      <c r="B78" s="8"/>
      <c r="C78">
        <v>9</v>
      </c>
      <c r="D78" s="11">
        <f>D76+D77</f>
        <v>9691.86</v>
      </c>
      <c r="E78" s="11">
        <f>E76+E77</f>
        <v>10463.730000000001</v>
      </c>
      <c r="F78" s="43">
        <f>SUM(Tabla13[[#This Row],[Jorge]]+Tabla13[[#This Row],[Columna1]])</f>
        <v>20155.590000000004</v>
      </c>
      <c r="G78" s="43">
        <f>G76</f>
        <v>37500</v>
      </c>
      <c r="H78" s="38">
        <f>H76</f>
        <v>75000</v>
      </c>
      <c r="I78" s="41">
        <f>I76</f>
        <v>71250</v>
      </c>
      <c r="J78" s="8"/>
      <c r="P78" s="8"/>
      <c r="Q78" s="8"/>
      <c r="R78" s="8"/>
    </row>
    <row r="79" spans="2:21" hidden="1" x14ac:dyDescent="0.25">
      <c r="B79" s="78"/>
      <c r="D79" s="11">
        <f>'Concentrado septiembre'!E13</f>
        <v>0.01</v>
      </c>
      <c r="E79" s="11">
        <f>'Concentrado septiembre'!L13</f>
        <v>0</v>
      </c>
      <c r="F79" s="43">
        <f>SUM(Tabla13[[#This Row],[Jorge]]+Tabla13[[#This Row],[Columna1]])</f>
        <v>0.01</v>
      </c>
      <c r="H79" s="8"/>
      <c r="I79" s="11"/>
      <c r="J79" s="8"/>
      <c r="P79" s="8"/>
      <c r="Q79" s="8"/>
      <c r="R79" s="8"/>
    </row>
    <row r="80" spans="2:21" x14ac:dyDescent="0.25">
      <c r="B80" s="8"/>
      <c r="C80">
        <v>10</v>
      </c>
      <c r="D80" s="11">
        <f>D78+D79</f>
        <v>9691.8700000000008</v>
      </c>
      <c r="E80" s="11">
        <f>E78+E79</f>
        <v>10463.730000000001</v>
      </c>
      <c r="F80" s="43">
        <f>SUM(Tabla13[[#This Row],[Jorge]]+Tabla13[[#This Row],[Columna1]])</f>
        <v>20155.600000000002</v>
      </c>
      <c r="G80" s="43">
        <f>G78</f>
        <v>37500</v>
      </c>
      <c r="H80" s="38">
        <f>H78</f>
        <v>75000</v>
      </c>
      <c r="I80" s="41">
        <f>I78</f>
        <v>71250</v>
      </c>
      <c r="P80" s="8"/>
      <c r="Q80" s="8"/>
      <c r="R80" s="8"/>
    </row>
    <row r="81" spans="2:37" hidden="1" x14ac:dyDescent="0.25">
      <c r="B81" s="78"/>
      <c r="D81" s="11">
        <f>'Concentrado septiembre'!E14</f>
        <v>0</v>
      </c>
      <c r="E81" s="11">
        <f>'Concentrado septiembre'!L14</f>
        <v>0</v>
      </c>
      <c r="F81" s="43">
        <f>SUM(Tabla13[[#This Row],[Jorge]]+Tabla13[[#This Row],[Columna1]])</f>
        <v>0</v>
      </c>
      <c r="H81" s="8"/>
      <c r="I81" s="11"/>
      <c r="J81" s="8"/>
      <c r="P81" s="8"/>
      <c r="Q81" s="8"/>
      <c r="R81" s="8"/>
    </row>
    <row r="82" spans="2:37" x14ac:dyDescent="0.25">
      <c r="B82" s="8"/>
      <c r="C82">
        <v>11</v>
      </c>
      <c r="D82" s="11">
        <f>D80+D81</f>
        <v>9691.8700000000008</v>
      </c>
      <c r="E82" s="11">
        <f>E80+E81</f>
        <v>10463.730000000001</v>
      </c>
      <c r="F82" s="43">
        <f>SUM(Tabla13[[#This Row],[Jorge]]+Tabla13[[#This Row],[Columna1]])</f>
        <v>20155.600000000002</v>
      </c>
      <c r="G82" s="43">
        <f>G80</f>
        <v>37500</v>
      </c>
      <c r="H82" s="38">
        <f>H80</f>
        <v>75000</v>
      </c>
      <c r="I82" s="41">
        <f>I80</f>
        <v>71250</v>
      </c>
      <c r="J82" s="8"/>
      <c r="P82" s="8"/>
      <c r="Q82" s="8"/>
      <c r="R82" s="8"/>
    </row>
    <row r="83" spans="2:37" hidden="1" x14ac:dyDescent="0.25">
      <c r="B83" s="78"/>
      <c r="D83" s="11">
        <f>'Concentrado septiembre'!E15</f>
        <v>128.87</v>
      </c>
      <c r="E83" s="11">
        <f>'Concentrado septiembre'!L15</f>
        <v>1185.3399999999999</v>
      </c>
      <c r="F83" s="43">
        <f>SUM(Tabla13[[#This Row],[Jorge]]+Tabla13[[#This Row],[Columna1]])</f>
        <v>1314.21</v>
      </c>
      <c r="H83" s="8"/>
      <c r="I83" s="11"/>
      <c r="J83" s="8"/>
      <c r="P83" s="8"/>
      <c r="Q83" s="8"/>
      <c r="R83" s="8"/>
    </row>
    <row r="84" spans="2:37" x14ac:dyDescent="0.25">
      <c r="B84" s="8"/>
      <c r="C84">
        <v>12</v>
      </c>
      <c r="D84" s="11">
        <f>D82+D83</f>
        <v>9820.7400000000016</v>
      </c>
      <c r="E84" s="11">
        <f>E82+E83</f>
        <v>11649.070000000002</v>
      </c>
      <c r="F84" s="43">
        <f>SUM(Tabla13[[#This Row],[Jorge]]+Tabla13[[#This Row],[Columna1]])</f>
        <v>21469.810000000005</v>
      </c>
      <c r="G84" s="43">
        <f>G82</f>
        <v>37500</v>
      </c>
      <c r="H84" s="38">
        <f>H82</f>
        <v>75000</v>
      </c>
      <c r="I84" s="41">
        <f>I82</f>
        <v>71250</v>
      </c>
      <c r="J84" s="8"/>
      <c r="P84" s="8"/>
      <c r="Q84" s="8"/>
      <c r="R84" s="8"/>
    </row>
    <row r="85" spans="2:37" hidden="1" x14ac:dyDescent="0.25">
      <c r="B85" s="78"/>
      <c r="D85" s="11">
        <f>'Concentrado septiembre'!E16</f>
        <v>558.54</v>
      </c>
      <c r="E85" s="11">
        <f>'Concentrado septiembre'!L16</f>
        <v>4353.33</v>
      </c>
      <c r="F85" s="43">
        <f>SUM(Tabla13[[#This Row],[Jorge]]+Tabla13[[#This Row],[Columna1]])</f>
        <v>4911.87</v>
      </c>
      <c r="H85" s="8"/>
      <c r="I85" s="11"/>
      <c r="J85" s="8"/>
      <c r="P85" s="8"/>
      <c r="Q85" s="8"/>
      <c r="R85" s="8"/>
    </row>
    <row r="86" spans="2:37" x14ac:dyDescent="0.25">
      <c r="B86" s="8"/>
      <c r="C86">
        <v>13</v>
      </c>
      <c r="D86" s="11">
        <f>D84+D85</f>
        <v>10379.280000000002</v>
      </c>
      <c r="E86" s="11">
        <f>E84+E85</f>
        <v>16002.400000000001</v>
      </c>
      <c r="F86" s="43">
        <f>SUM(Tabla13[[#This Row],[Jorge]]+Tabla13[[#This Row],[Columna1]])</f>
        <v>26381.680000000004</v>
      </c>
      <c r="G86" s="43">
        <f>G84</f>
        <v>37500</v>
      </c>
      <c r="H86" s="38">
        <f>H84</f>
        <v>75000</v>
      </c>
      <c r="I86" s="41">
        <f>I84</f>
        <v>71250</v>
      </c>
      <c r="J86" s="8"/>
      <c r="P86" s="8"/>
      <c r="Q86" s="8"/>
      <c r="R86" s="8"/>
    </row>
    <row r="87" spans="2:37" hidden="1" x14ac:dyDescent="0.25">
      <c r="B87" s="78"/>
      <c r="D87" s="11">
        <f>'Concentrado septiembre'!E17</f>
        <v>5961.75</v>
      </c>
      <c r="E87" s="11">
        <f>'Concentrado septiembre'!L17</f>
        <v>2142</v>
      </c>
      <c r="F87" s="43">
        <f>SUM(Tabla13[[#This Row],[Jorge]]+Tabla13[[#This Row],[Columna1]])</f>
        <v>8103.75</v>
      </c>
      <c r="H87" s="8"/>
      <c r="I87" s="11"/>
      <c r="P87" s="8"/>
      <c r="Q87" s="8"/>
      <c r="R87" s="8"/>
    </row>
    <row r="88" spans="2:37" x14ac:dyDescent="0.25">
      <c r="B88" s="8"/>
      <c r="C88">
        <v>14</v>
      </c>
      <c r="D88" s="11">
        <f>D86+D87</f>
        <v>16341.030000000002</v>
      </c>
      <c r="E88" s="11">
        <f>E86+E87</f>
        <v>18144.400000000001</v>
      </c>
      <c r="F88" s="43">
        <f>SUM(Tabla13[[#This Row],[Jorge]]+Tabla13[[#This Row],[Columna1]])</f>
        <v>34485.430000000008</v>
      </c>
      <c r="G88" s="43">
        <f>G86</f>
        <v>37500</v>
      </c>
      <c r="H88" s="38">
        <f>H86</f>
        <v>75000</v>
      </c>
      <c r="I88" s="41">
        <f>I86</f>
        <v>71250</v>
      </c>
      <c r="J88" s="8"/>
      <c r="P88" s="8"/>
      <c r="Q88" s="8"/>
      <c r="R88" s="8"/>
    </row>
    <row r="89" spans="2:37" hidden="1" x14ac:dyDescent="0.25">
      <c r="B89" s="78"/>
      <c r="D89" s="11">
        <f>'Concentrado septiembre'!E18</f>
        <v>2144.58</v>
      </c>
      <c r="E89" s="11">
        <f>'Concentrado septiembre'!L18</f>
        <v>3011.94</v>
      </c>
      <c r="F89" s="43">
        <f>SUM(Tabla13[[#This Row],[Jorge]]+Tabla13[[#This Row],[Columna1]])</f>
        <v>5156.5200000000004</v>
      </c>
      <c r="H89" s="8"/>
      <c r="I89" s="11"/>
      <c r="J89" s="8"/>
      <c r="P89" s="8"/>
      <c r="Q89" s="8"/>
      <c r="R89" s="8"/>
    </row>
    <row r="90" spans="2:37" x14ac:dyDescent="0.25">
      <c r="B90" s="8"/>
      <c r="C90">
        <v>15</v>
      </c>
      <c r="D90" s="11">
        <f>D88+D89</f>
        <v>18485.61</v>
      </c>
      <c r="E90" s="11">
        <f>E88+E89</f>
        <v>21156.34</v>
      </c>
      <c r="F90" s="43">
        <f>SUM(Tabla13[[#This Row],[Jorge]]+Tabla13[[#This Row],[Columna1]])</f>
        <v>39641.949999999997</v>
      </c>
      <c r="G90" s="43">
        <f>G88</f>
        <v>37500</v>
      </c>
      <c r="H90" s="38">
        <f>H88</f>
        <v>75000</v>
      </c>
      <c r="I90" s="41">
        <f>I88</f>
        <v>71250</v>
      </c>
      <c r="J90" s="8"/>
      <c r="P90" s="8"/>
      <c r="Q90" s="8"/>
      <c r="R90" s="8"/>
    </row>
    <row r="91" spans="2:37" hidden="1" x14ac:dyDescent="0.25">
      <c r="B91" s="78"/>
      <c r="D91" s="11">
        <f>'Concentrado septiembre'!H4</f>
        <v>2163.2800000000002</v>
      </c>
      <c r="E91" s="11">
        <f>'Concentrado septiembre'!O4</f>
        <v>433.79</v>
      </c>
      <c r="F91" s="43">
        <f>SUM(Tabla13[[#This Row],[Jorge]]+Tabla13[[#This Row],[Columna1]])</f>
        <v>2597.0700000000002</v>
      </c>
      <c r="H91" s="8"/>
      <c r="I91" s="11"/>
      <c r="J91" s="8"/>
      <c r="P91" s="8"/>
      <c r="Q91" s="8"/>
      <c r="R91" s="8"/>
    </row>
    <row r="92" spans="2:37" x14ac:dyDescent="0.25">
      <c r="B92" s="8"/>
      <c r="C92">
        <v>16</v>
      </c>
      <c r="D92" s="11">
        <f>D90+D91</f>
        <v>20648.89</v>
      </c>
      <c r="E92" s="11">
        <f>E90+E91</f>
        <v>21590.13</v>
      </c>
      <c r="F92" s="43">
        <f>SUM(Tabla13[[#This Row],[Jorge]]+Tabla13[[#This Row],[Columna1]])</f>
        <v>42239.020000000004</v>
      </c>
      <c r="G92" s="43">
        <f>G90</f>
        <v>37500</v>
      </c>
      <c r="H92" s="38">
        <f>H90</f>
        <v>75000</v>
      </c>
      <c r="I92" s="41">
        <f>I90</f>
        <v>71250</v>
      </c>
      <c r="J92" s="8"/>
      <c r="P92" s="8"/>
      <c r="Q92" s="8"/>
      <c r="R92" s="8"/>
    </row>
    <row r="93" spans="2:37" hidden="1" x14ac:dyDescent="0.25">
      <c r="B93" s="78"/>
      <c r="D93" s="11">
        <f>'Concentrado septiembre'!H5</f>
        <v>0.01</v>
      </c>
      <c r="E93" s="11">
        <f>'Concentrado septiembre'!O5</f>
        <v>0.01</v>
      </c>
      <c r="F93" s="43">
        <f>SUM(Tabla13[[#This Row],[Jorge]]+Tabla13[[#This Row],[Columna1]])</f>
        <v>0.02</v>
      </c>
      <c r="H93" s="8"/>
      <c r="I93" s="11"/>
      <c r="J93" s="8"/>
      <c r="P93" s="8"/>
      <c r="Q93" s="8"/>
      <c r="R93" s="8"/>
    </row>
    <row r="94" spans="2:37" x14ac:dyDescent="0.25">
      <c r="B94" s="8"/>
      <c r="C94">
        <v>17</v>
      </c>
      <c r="D94" s="11">
        <f>D92+D93</f>
        <v>20648.899999999998</v>
      </c>
      <c r="E94" s="11">
        <f>E92+E93</f>
        <v>21590.14</v>
      </c>
      <c r="F94" s="43">
        <f>SUM(Tabla13[[#This Row],[Jorge]]+Tabla13[[#This Row],[Columna1]])</f>
        <v>42239.039999999994</v>
      </c>
      <c r="G94" s="43">
        <f>G92</f>
        <v>37500</v>
      </c>
      <c r="H94" s="38">
        <f>H92</f>
        <v>75000</v>
      </c>
      <c r="I94" s="41">
        <f>I92</f>
        <v>71250</v>
      </c>
      <c r="J94" s="8"/>
      <c r="P94" s="8"/>
      <c r="Q94" s="8"/>
      <c r="R94" s="8"/>
      <c r="Z94" s="89" t="s">
        <v>1</v>
      </c>
      <c r="AA94" s="89"/>
      <c r="AB94" s="89"/>
      <c r="AC94" s="130">
        <f>SUM(D61:D89,D91:D121)</f>
        <v>485210.23</v>
      </c>
      <c r="AD94" s="130"/>
      <c r="AE94" s="8"/>
      <c r="AF94" s="8"/>
      <c r="AG94" s="89" t="s">
        <v>1</v>
      </c>
      <c r="AH94" s="89"/>
      <c r="AI94" s="89"/>
      <c r="AJ94" s="130">
        <f>SUM(I60:I88,I90:I120)</f>
        <v>2137500</v>
      </c>
      <c r="AK94" s="130"/>
    </row>
    <row r="95" spans="2:37" hidden="1" x14ac:dyDescent="0.25">
      <c r="B95" s="78"/>
      <c r="D95" s="11">
        <f>'Concentrado septiembre'!H6</f>
        <v>0</v>
      </c>
      <c r="E95" s="11">
        <f>'Concentrado septiembre'!O6</f>
        <v>0</v>
      </c>
      <c r="F95" s="43">
        <f>SUM(Tabla13[[#This Row],[Jorge]]+Tabla13[[#This Row],[Columna1]])</f>
        <v>0</v>
      </c>
      <c r="I95" s="11"/>
      <c r="J95" s="8"/>
      <c r="P95" s="8"/>
      <c r="Q95" s="8"/>
      <c r="R95" s="8"/>
      <c r="Z95" s="73"/>
      <c r="AA95" s="73"/>
      <c r="AB95" s="73"/>
      <c r="AC95" s="74"/>
      <c r="AD95" s="74"/>
      <c r="AE95" s="8"/>
      <c r="AF95" s="8"/>
      <c r="AG95" s="73"/>
      <c r="AH95" s="73"/>
      <c r="AI95" s="73"/>
      <c r="AJ95" s="74"/>
      <c r="AK95" s="74"/>
    </row>
    <row r="96" spans="2:37" x14ac:dyDescent="0.25">
      <c r="B96" s="8"/>
      <c r="C96">
        <v>18</v>
      </c>
      <c r="D96" s="11">
        <f>D94+D95</f>
        <v>20648.899999999998</v>
      </c>
      <c r="E96" s="11">
        <f>E94+E95</f>
        <v>21590.14</v>
      </c>
      <c r="F96" s="43">
        <f>SUM(Tabla13[[#This Row],[Jorge]]+Tabla13[[#This Row],[Columna1]])</f>
        <v>42239.039999999994</v>
      </c>
      <c r="G96" s="43">
        <f>G94</f>
        <v>37500</v>
      </c>
      <c r="H96" s="38">
        <f>H94</f>
        <v>75000</v>
      </c>
      <c r="I96" s="41">
        <f>I94</f>
        <v>71250</v>
      </c>
      <c r="J96" s="8"/>
      <c r="P96" s="8"/>
      <c r="Q96" s="8"/>
      <c r="R96" s="8"/>
      <c r="Z96" s="89" t="s">
        <v>3</v>
      </c>
      <c r="AA96" s="89"/>
      <c r="AB96" s="89"/>
      <c r="AC96" s="122">
        <f>AC94/44000</f>
        <v>11.027505227272727</v>
      </c>
      <c r="AD96" s="122"/>
      <c r="AE96" s="8"/>
      <c r="AF96" s="8"/>
      <c r="AG96" s="89" t="s">
        <v>3</v>
      </c>
      <c r="AH96" s="89"/>
      <c r="AI96" s="89"/>
      <c r="AJ96" s="122">
        <f>AJ94/44000</f>
        <v>48.579545454545453</v>
      </c>
      <c r="AK96" s="122"/>
    </row>
    <row r="97" spans="2:37" hidden="1" x14ac:dyDescent="0.25">
      <c r="B97" s="78"/>
      <c r="D97" s="11">
        <f>'Concentrado septiembre'!H7</f>
        <v>0</v>
      </c>
      <c r="E97" s="11">
        <f>'Concentrado septiembre'!O7</f>
        <v>887.22</v>
      </c>
      <c r="F97" s="43">
        <f>SUM(Tabla13[[#This Row],[Jorge]]+Tabla13[[#This Row],[Columna1]])</f>
        <v>887.22</v>
      </c>
      <c r="I97" s="11"/>
      <c r="J97" s="8"/>
      <c r="P97" s="8"/>
      <c r="Q97" s="8"/>
      <c r="R97" s="8"/>
      <c r="Z97" s="73"/>
      <c r="AA97" s="73"/>
      <c r="AB97" s="73"/>
      <c r="AC97" s="71"/>
      <c r="AD97" s="71"/>
      <c r="AE97" s="8"/>
      <c r="AF97" s="8"/>
      <c r="AG97" s="73"/>
      <c r="AH97" s="73"/>
      <c r="AI97" s="73"/>
      <c r="AJ97" s="71"/>
      <c r="AK97" s="71"/>
    </row>
    <row r="98" spans="2:37" x14ac:dyDescent="0.25">
      <c r="B98" s="8"/>
      <c r="C98">
        <v>19</v>
      </c>
      <c r="D98" s="11">
        <f>D96+D97</f>
        <v>20648.899999999998</v>
      </c>
      <c r="E98" s="11">
        <f>E96+E97</f>
        <v>22477.360000000001</v>
      </c>
      <c r="F98" s="43">
        <f>SUM(Tabla13[[#This Row],[Jorge]]+Tabla13[[#This Row],[Columna1]])</f>
        <v>43126.259999999995</v>
      </c>
      <c r="G98" s="43">
        <f>G96</f>
        <v>37500</v>
      </c>
      <c r="H98" s="38">
        <f>H96</f>
        <v>75000</v>
      </c>
      <c r="I98" s="41">
        <f>I96</f>
        <v>71250</v>
      </c>
      <c r="J98" s="8"/>
      <c r="Z98" s="89" t="s">
        <v>2</v>
      </c>
      <c r="AA98" s="89"/>
      <c r="AB98" s="89"/>
      <c r="AC98" s="129">
        <f>44000-AC94</f>
        <v>-441210.23</v>
      </c>
      <c r="AD98" s="129"/>
      <c r="AE98" s="8"/>
      <c r="AF98" s="8"/>
      <c r="AG98" s="89" t="s">
        <v>2</v>
      </c>
      <c r="AH98" s="89"/>
      <c r="AI98" s="89"/>
      <c r="AJ98" s="129">
        <f>44000-AJ94</f>
        <v>-2093500</v>
      </c>
      <c r="AK98" s="129"/>
    </row>
    <row r="99" spans="2:37" hidden="1" x14ac:dyDescent="0.25">
      <c r="B99" s="78"/>
      <c r="D99" s="11">
        <f>'Concentrado septiembre'!H9</f>
        <v>1249.1300000000001</v>
      </c>
      <c r="E99" s="11">
        <f>'Concentrado septiembre'!O8</f>
        <v>516.38</v>
      </c>
      <c r="F99" s="43">
        <f>SUM(Tabla13[[#This Row],[Jorge]]+Tabla13[[#This Row],[Columna1]])</f>
        <v>1765.5100000000002</v>
      </c>
      <c r="I99" s="11"/>
      <c r="J99" s="8"/>
      <c r="Z99" s="79"/>
      <c r="AA99" s="79"/>
      <c r="AB99" s="79"/>
      <c r="AC99" s="19"/>
      <c r="AD99" s="19"/>
      <c r="AE99" s="8"/>
      <c r="AF99" s="8"/>
      <c r="AG99" s="79"/>
      <c r="AH99" s="79"/>
      <c r="AI99" s="79"/>
      <c r="AJ99" s="19"/>
      <c r="AK99" s="19"/>
    </row>
    <row r="100" spans="2:37" x14ac:dyDescent="0.25">
      <c r="B100" s="8"/>
      <c r="C100">
        <v>20</v>
      </c>
      <c r="D100" s="11">
        <f>D98+D99</f>
        <v>21898.03</v>
      </c>
      <c r="E100" s="11">
        <f>E98+E99</f>
        <v>22993.74</v>
      </c>
      <c r="F100" s="43">
        <f>SUM(Tabla13[[#This Row],[Jorge]]+Tabla13[[#This Row],[Columna1]])</f>
        <v>44891.770000000004</v>
      </c>
      <c r="G100" s="43">
        <f>G98</f>
        <v>37500</v>
      </c>
      <c r="H100" s="38">
        <f>H98</f>
        <v>75000</v>
      </c>
      <c r="I100" s="41">
        <f>I98</f>
        <v>71250</v>
      </c>
      <c r="J100" s="8"/>
    </row>
    <row r="101" spans="2:37" hidden="1" x14ac:dyDescent="0.25">
      <c r="B101" s="78"/>
      <c r="D101" s="11">
        <f>'Concentrado septiembre'!H9</f>
        <v>1249.1300000000001</v>
      </c>
      <c r="E101" s="11">
        <f>'Concentrado septiembre'!O9</f>
        <v>1421.55</v>
      </c>
      <c r="F101" s="43">
        <f>SUM(Tabla13[[#This Row],[Jorge]]+Tabla13[[#This Row],[Columna1]])</f>
        <v>2670.6800000000003</v>
      </c>
      <c r="I101" s="11"/>
      <c r="J101" s="8"/>
    </row>
    <row r="102" spans="2:37" x14ac:dyDescent="0.25">
      <c r="B102" s="8"/>
      <c r="C102">
        <v>21</v>
      </c>
      <c r="D102" s="11">
        <f>D100+D101</f>
        <v>23147.16</v>
      </c>
      <c r="E102" s="11">
        <f>E100+E101</f>
        <v>24415.29</v>
      </c>
      <c r="F102" s="43">
        <f>SUM(Tabla13[[#This Row],[Jorge]]+Tabla13[[#This Row],[Columna1]])</f>
        <v>47562.45</v>
      </c>
      <c r="G102" s="43">
        <f>G100</f>
        <v>37500</v>
      </c>
      <c r="H102" s="38">
        <f>H100</f>
        <v>75000</v>
      </c>
      <c r="I102" s="41">
        <f>I100</f>
        <v>71250</v>
      </c>
      <c r="J102" s="8"/>
    </row>
    <row r="103" spans="2:37" hidden="1" x14ac:dyDescent="0.25">
      <c r="B103" s="78"/>
      <c r="D103" s="11">
        <f>'Concentrado septiembre'!H10</f>
        <v>643.95000000000005</v>
      </c>
      <c r="E103" s="11">
        <f>'Concentrado septiembre'!O10</f>
        <v>859.2</v>
      </c>
      <c r="F103" s="43">
        <f>SUM(Tabla13[[#This Row],[Jorge]]+Tabla13[[#This Row],[Columna1]])</f>
        <v>1503.15</v>
      </c>
      <c r="I103" s="11"/>
      <c r="J103" s="8"/>
    </row>
    <row r="104" spans="2:37" x14ac:dyDescent="0.25">
      <c r="B104" s="8"/>
      <c r="C104">
        <v>22</v>
      </c>
      <c r="D104" s="11">
        <f>D102+D103</f>
        <v>23791.11</v>
      </c>
      <c r="E104" s="11">
        <f>E102+E103</f>
        <v>25274.49</v>
      </c>
      <c r="F104" s="43">
        <f>SUM(Tabla13[[#This Row],[Jorge]]+Tabla13[[#This Row],[Columna1]])</f>
        <v>49065.600000000006</v>
      </c>
      <c r="G104" s="43">
        <f>G102</f>
        <v>37500</v>
      </c>
      <c r="H104" s="38">
        <f>H102</f>
        <v>75000</v>
      </c>
      <c r="I104" s="41">
        <f>I102</f>
        <v>71250</v>
      </c>
      <c r="J104" s="8"/>
    </row>
    <row r="105" spans="2:37" hidden="1" x14ac:dyDescent="0.25">
      <c r="B105" s="78"/>
      <c r="D105" s="11">
        <f>'Concentrado septiembre'!H11</f>
        <v>0</v>
      </c>
      <c r="E105" s="11">
        <f>'Concentrado septiembre'!O11</f>
        <v>0.01</v>
      </c>
      <c r="F105" s="43">
        <f>SUM(Tabla13[[#This Row],[Jorge]]+Tabla13[[#This Row],[Columna1]])</f>
        <v>0.01</v>
      </c>
      <c r="I105" s="11"/>
      <c r="J105" s="8"/>
    </row>
    <row r="106" spans="2:37" x14ac:dyDescent="0.25">
      <c r="B106" s="8"/>
      <c r="C106">
        <v>23</v>
      </c>
      <c r="D106" s="11">
        <f>D104+D105</f>
        <v>23791.11</v>
      </c>
      <c r="E106" s="11">
        <f>E104+E105</f>
        <v>25274.5</v>
      </c>
      <c r="F106" s="43">
        <f>SUM(Tabla13[[#This Row],[Jorge]]+Tabla13[[#This Row],[Columna1]])</f>
        <v>49065.61</v>
      </c>
      <c r="G106" s="43">
        <f>G104</f>
        <v>37500</v>
      </c>
      <c r="H106" s="38">
        <f>H104</f>
        <v>75000</v>
      </c>
      <c r="I106" s="41">
        <f>I104</f>
        <v>71250</v>
      </c>
      <c r="J106" s="8"/>
    </row>
    <row r="107" spans="2:37" hidden="1" x14ac:dyDescent="0.25">
      <c r="B107" s="78"/>
      <c r="D107" s="11">
        <f>'Concentrado septiembre'!H12</f>
        <v>0.01</v>
      </c>
      <c r="E107" s="11">
        <f>'Concentrado septiembre'!O12</f>
        <v>3102.71</v>
      </c>
      <c r="F107" s="43">
        <f>SUM(Tabla13[[#This Row],[Jorge]]+Tabla13[[#This Row],[Columna1]])</f>
        <v>3102.7200000000003</v>
      </c>
      <c r="I107" s="11"/>
      <c r="J107" s="8"/>
    </row>
    <row r="108" spans="2:37" x14ac:dyDescent="0.25">
      <c r="B108" s="8"/>
      <c r="C108">
        <v>24</v>
      </c>
      <c r="D108" s="11">
        <f>D106+D107</f>
        <v>23791.119999999999</v>
      </c>
      <c r="E108" s="11">
        <f>E106+E107</f>
        <v>28377.21</v>
      </c>
      <c r="F108" s="43">
        <f>SUM(Tabla13[[#This Row],[Jorge]]+Tabla13[[#This Row],[Columna1]])</f>
        <v>52168.33</v>
      </c>
      <c r="G108" s="43">
        <f>G106</f>
        <v>37500</v>
      </c>
      <c r="H108" s="38">
        <f>H106</f>
        <v>75000</v>
      </c>
      <c r="I108" s="41">
        <f>I106</f>
        <v>71250</v>
      </c>
      <c r="J108" s="8"/>
    </row>
    <row r="109" spans="2:37" hidden="1" x14ac:dyDescent="0.25">
      <c r="B109" s="78"/>
      <c r="D109" s="11">
        <f>'Concentrado septiembre'!H13</f>
        <v>0</v>
      </c>
      <c r="E109" s="11">
        <f>'Concentrado septiembre'!O13</f>
        <v>1378.45</v>
      </c>
      <c r="F109" s="43">
        <f>SUM(Tabla13[[#This Row],[Jorge]]+Tabla13[[#This Row],[Columna1]])</f>
        <v>1378.45</v>
      </c>
      <c r="I109" s="11"/>
      <c r="J109" s="8"/>
    </row>
    <row r="110" spans="2:37" x14ac:dyDescent="0.25">
      <c r="B110" s="8"/>
      <c r="C110">
        <v>25</v>
      </c>
      <c r="D110" s="11">
        <f>D108+D109</f>
        <v>23791.119999999999</v>
      </c>
      <c r="E110" s="11">
        <f>E108+E109</f>
        <v>29755.66</v>
      </c>
      <c r="F110" s="43">
        <f>SUM(Tabla13[[#This Row],[Jorge]]+Tabla13[[#This Row],[Columna1]])</f>
        <v>53546.78</v>
      </c>
      <c r="G110" s="43">
        <f>G108</f>
        <v>37500</v>
      </c>
      <c r="H110" s="38">
        <f>H108</f>
        <v>75000</v>
      </c>
      <c r="I110" s="41">
        <f>I108</f>
        <v>71250</v>
      </c>
      <c r="J110" s="8"/>
    </row>
    <row r="111" spans="2:37" hidden="1" x14ac:dyDescent="0.25">
      <c r="B111" s="78"/>
      <c r="D111" s="11">
        <f>'Concentrado septiembre'!H14</f>
        <v>863.88</v>
      </c>
      <c r="E111" s="11">
        <f>'Concentrado septiembre'!O14</f>
        <v>0</v>
      </c>
      <c r="F111" s="43">
        <f>SUM(Tabla13[[#This Row],[Jorge]]+Tabla13[[#This Row],[Columna1]])</f>
        <v>863.88</v>
      </c>
      <c r="I111" s="11"/>
      <c r="J111" s="8"/>
    </row>
    <row r="112" spans="2:37" x14ac:dyDescent="0.25">
      <c r="B112" s="8"/>
      <c r="C112">
        <v>26</v>
      </c>
      <c r="D112" s="11">
        <f>D110+D111</f>
        <v>24655</v>
      </c>
      <c r="E112" s="11">
        <f>E110+E111</f>
        <v>29755.66</v>
      </c>
      <c r="F112" s="43">
        <f>SUM(Tabla13[[#This Row],[Jorge]]+Tabla13[[#This Row],[Columna1]])</f>
        <v>54410.66</v>
      </c>
      <c r="G112" s="43">
        <f>G110</f>
        <v>37500</v>
      </c>
      <c r="H112" s="38">
        <f>H110</f>
        <v>75000</v>
      </c>
      <c r="I112" s="41">
        <f>I110</f>
        <v>71250</v>
      </c>
      <c r="J112" s="8"/>
    </row>
    <row r="113" spans="2:11" hidden="1" x14ac:dyDescent="0.25">
      <c r="B113" s="78"/>
      <c r="D113" s="11">
        <f>'Concentrado septiembre'!H15</f>
        <v>2195.7399999999998</v>
      </c>
      <c r="E113" s="11">
        <f>'Concentrado septiembre'!O15</f>
        <v>4691.8500000000004</v>
      </c>
      <c r="F113" s="43">
        <f>SUM(Tabla13[[#This Row],[Jorge]]+Tabla13[[#This Row],[Columna1]])</f>
        <v>6887.59</v>
      </c>
      <c r="I113" s="11"/>
      <c r="J113" s="8"/>
    </row>
    <row r="114" spans="2:11" x14ac:dyDescent="0.25">
      <c r="B114" s="8"/>
      <c r="C114">
        <v>27</v>
      </c>
      <c r="D114" s="11">
        <f>D112+D113</f>
        <v>26850.739999999998</v>
      </c>
      <c r="E114" s="11">
        <f>E112+E113</f>
        <v>34447.51</v>
      </c>
      <c r="F114" s="43">
        <f>SUM(Tabla13[[#This Row],[Jorge]]+Tabla13[[#This Row],[Columna1]])</f>
        <v>61298.25</v>
      </c>
      <c r="G114" s="43">
        <f>G112</f>
        <v>37500</v>
      </c>
      <c r="H114" s="38">
        <f>H112</f>
        <v>75000</v>
      </c>
      <c r="I114" s="41">
        <f>I112</f>
        <v>71250</v>
      </c>
      <c r="J114" s="8"/>
    </row>
    <row r="115" spans="2:11" hidden="1" x14ac:dyDescent="0.25">
      <c r="B115" s="78"/>
      <c r="D115" s="11">
        <f>'Concentrado septiembre'!H16</f>
        <v>326.72000000000003</v>
      </c>
      <c r="E115" s="11">
        <f>'Concentrado septiembre'!O16</f>
        <v>0</v>
      </c>
      <c r="F115" s="43">
        <f>SUM(Tabla13[[#This Row],[Jorge]]+Tabla13[[#This Row],[Columna1]])</f>
        <v>326.72000000000003</v>
      </c>
      <c r="I115" s="11"/>
      <c r="J115" s="8"/>
    </row>
    <row r="116" spans="2:11" x14ac:dyDescent="0.25">
      <c r="B116" s="8"/>
      <c r="C116">
        <v>28</v>
      </c>
      <c r="D116" s="11">
        <f>D114+D115</f>
        <v>27177.46</v>
      </c>
      <c r="E116" s="11">
        <f>E114+E115</f>
        <v>34447.51</v>
      </c>
      <c r="F116" s="43">
        <f>SUM(Tabla13[[#This Row],[Jorge]]+Tabla13[[#This Row],[Columna1]])</f>
        <v>61624.97</v>
      </c>
      <c r="G116" s="43">
        <f>G114</f>
        <v>37500</v>
      </c>
      <c r="H116" s="38">
        <f>H114</f>
        <v>75000</v>
      </c>
      <c r="I116" s="41">
        <f>I114</f>
        <v>71250</v>
      </c>
      <c r="J116" s="8"/>
    </row>
    <row r="117" spans="2:11" hidden="1" x14ac:dyDescent="0.25">
      <c r="B117" s="78"/>
      <c r="D117" s="11">
        <f>'Concentrado septiembre'!H17</f>
        <v>6028.26</v>
      </c>
      <c r="E117" s="11">
        <f>'Concentrado septiembre'!O17</f>
        <v>0.01</v>
      </c>
      <c r="F117" s="43">
        <f>SUM(Tabla13[[#This Row],[Jorge]]+Tabla13[[#This Row],[Columna1]])</f>
        <v>6028.27</v>
      </c>
      <c r="I117" s="11"/>
      <c r="J117" s="8"/>
    </row>
    <row r="118" spans="2:11" x14ac:dyDescent="0.25">
      <c r="B118" s="8"/>
      <c r="C118">
        <v>29</v>
      </c>
      <c r="D118" s="11">
        <f>D116+D117</f>
        <v>33205.72</v>
      </c>
      <c r="E118" s="11">
        <f>E116+E117</f>
        <v>34447.520000000004</v>
      </c>
      <c r="F118" s="43">
        <f>SUM(Tabla13[[#This Row],[Jorge]]+Tabla13[[#This Row],[Columna1]])</f>
        <v>67653.240000000005</v>
      </c>
      <c r="G118" s="43">
        <f>G116</f>
        <v>37500</v>
      </c>
      <c r="H118" s="38">
        <f>H116</f>
        <v>75000</v>
      </c>
      <c r="I118" s="41">
        <f>I116</f>
        <v>71250</v>
      </c>
      <c r="J118" s="8"/>
    </row>
    <row r="119" spans="2:11" hidden="1" x14ac:dyDescent="0.25">
      <c r="B119" s="78"/>
      <c r="D119" s="11">
        <f>'Concentrado septiembre'!H18</f>
        <v>256.89</v>
      </c>
      <c r="E119" s="11">
        <f>'Concentrado septiembre'!O18</f>
        <v>0.01</v>
      </c>
      <c r="F119" s="43">
        <f>SUM(Tabla13[[#This Row],[Jorge]]+Tabla13[[#This Row],[Columna1]])</f>
        <v>256.89999999999998</v>
      </c>
      <c r="I119" s="11"/>
      <c r="J119" s="8"/>
    </row>
    <row r="120" spans="2:11" x14ac:dyDescent="0.25">
      <c r="B120" s="8"/>
      <c r="C120">
        <v>30</v>
      </c>
      <c r="D120" s="11">
        <f>D118+D119</f>
        <v>33462.61</v>
      </c>
      <c r="E120" s="11">
        <f>E118+E119</f>
        <v>34447.530000000006</v>
      </c>
      <c r="F120" s="43">
        <f>SUM(Tabla13[[#This Row],[Jorge]]+Tabla13[[#This Row],[Columna1]])</f>
        <v>67910.140000000014</v>
      </c>
      <c r="G120" s="43">
        <f>G118</f>
        <v>37500</v>
      </c>
      <c r="H120" s="38">
        <f>H118</f>
        <v>75000</v>
      </c>
      <c r="I120" s="41">
        <f>I118</f>
        <v>71250</v>
      </c>
      <c r="J120" s="8"/>
    </row>
    <row r="121" spans="2:11" hidden="1" x14ac:dyDescent="0.25">
      <c r="B121" s="78"/>
      <c r="D121" s="11">
        <f>'Concentrado septiembre'!H19</f>
        <v>0</v>
      </c>
      <c r="E121" s="11">
        <f>'Concentrado septiembre'!O19</f>
        <v>0</v>
      </c>
      <c r="F121" s="43">
        <f>SUM(Tabla13[[#This Row],[Jorge]]+Tabla13[[#This Row],[Columna1]])</f>
        <v>0</v>
      </c>
      <c r="I121" s="11"/>
      <c r="J121" s="8"/>
    </row>
    <row r="122" spans="2:11" x14ac:dyDescent="0.25">
      <c r="B122" s="8"/>
      <c r="C122">
        <v>31</v>
      </c>
      <c r="D122" s="11">
        <f>D120+D121</f>
        <v>33462.61</v>
      </c>
      <c r="E122" s="11">
        <f>E120+E121</f>
        <v>34447.530000000006</v>
      </c>
      <c r="F122" s="43">
        <f>SUM(Tabla13[[#This Row],[Jorge]]+Tabla13[[#This Row],[Columna1]])</f>
        <v>67910.140000000014</v>
      </c>
      <c r="G122" s="43">
        <f>G120</f>
        <v>37500</v>
      </c>
      <c r="H122" s="38">
        <f>H120</f>
        <v>75000</v>
      </c>
      <c r="I122" s="41">
        <f>I120</f>
        <v>71250</v>
      </c>
      <c r="J122" s="8"/>
    </row>
    <row r="123" spans="2:11" x14ac:dyDescent="0.25">
      <c r="I123" s="41"/>
      <c r="K123" s="8"/>
    </row>
    <row r="125" spans="2:11" x14ac:dyDescent="0.25">
      <c r="C125" s="46" t="s">
        <v>13</v>
      </c>
      <c r="D125" t="s">
        <v>36</v>
      </c>
      <c r="E125" s="8" t="s">
        <v>8</v>
      </c>
      <c r="F125" s="8" t="s">
        <v>10</v>
      </c>
    </row>
    <row r="126" spans="2:11" x14ac:dyDescent="0.25">
      <c r="D126" s="11" t="s">
        <v>41</v>
      </c>
      <c r="E126" s="41">
        <f t="shared" ref="E126:F145" si="0">E61</f>
        <v>0</v>
      </c>
      <c r="F126" s="38">
        <f t="shared" si="0"/>
        <v>0</v>
      </c>
    </row>
    <row r="127" spans="2:11" hidden="1" x14ac:dyDescent="0.25">
      <c r="C127">
        <v>1</v>
      </c>
      <c r="D127" s="11">
        <f t="shared" ref="D127:D158" si="1">D62</f>
        <v>0</v>
      </c>
      <c r="E127" s="41">
        <f t="shared" si="0"/>
        <v>0</v>
      </c>
      <c r="F127" s="38">
        <f t="shared" si="0"/>
        <v>0</v>
      </c>
    </row>
    <row r="128" spans="2:11" x14ac:dyDescent="0.25">
      <c r="D128" s="41">
        <f t="shared" si="1"/>
        <v>993.6</v>
      </c>
      <c r="E128" s="41">
        <f t="shared" si="0"/>
        <v>0.01</v>
      </c>
      <c r="F128" s="38">
        <f t="shared" si="0"/>
        <v>993.61</v>
      </c>
    </row>
    <row r="129" spans="3:6" hidden="1" x14ac:dyDescent="0.25">
      <c r="C129">
        <v>2</v>
      </c>
      <c r="D129" s="11">
        <f t="shared" si="1"/>
        <v>993.6</v>
      </c>
      <c r="E129" s="41">
        <f t="shared" si="0"/>
        <v>0.01</v>
      </c>
      <c r="F129" s="38">
        <f t="shared" si="0"/>
        <v>993.61</v>
      </c>
    </row>
    <row r="130" spans="3:6" x14ac:dyDescent="0.25">
      <c r="D130" s="11">
        <f t="shared" si="1"/>
        <v>0.01</v>
      </c>
      <c r="E130" s="41">
        <f t="shared" si="0"/>
        <v>3478.5</v>
      </c>
      <c r="F130" s="38">
        <f t="shared" si="0"/>
        <v>3478.51</v>
      </c>
    </row>
    <row r="131" spans="3:6" hidden="1" x14ac:dyDescent="0.25">
      <c r="C131">
        <v>3</v>
      </c>
      <c r="D131" s="11">
        <f t="shared" si="1"/>
        <v>993.61</v>
      </c>
      <c r="E131" s="41">
        <f t="shared" si="0"/>
        <v>3478.51</v>
      </c>
      <c r="F131" s="38">
        <f t="shared" si="0"/>
        <v>4472.12</v>
      </c>
    </row>
    <row r="132" spans="3:6" x14ac:dyDescent="0.25">
      <c r="D132" s="41">
        <f t="shared" si="1"/>
        <v>300</v>
      </c>
      <c r="E132" s="41">
        <f t="shared" si="0"/>
        <v>0</v>
      </c>
      <c r="F132" s="38">
        <f t="shared" si="0"/>
        <v>300</v>
      </c>
    </row>
    <row r="133" spans="3:6" hidden="1" x14ac:dyDescent="0.25">
      <c r="C133">
        <v>4</v>
      </c>
      <c r="D133" s="11">
        <f t="shared" si="1"/>
        <v>1293.6100000000001</v>
      </c>
      <c r="E133" s="41">
        <f t="shared" si="0"/>
        <v>3478.51</v>
      </c>
      <c r="F133" s="38">
        <f t="shared" si="0"/>
        <v>4772.1200000000008</v>
      </c>
    </row>
    <row r="134" spans="3:6" x14ac:dyDescent="0.25">
      <c r="D134" s="11">
        <f t="shared" si="1"/>
        <v>1938.79</v>
      </c>
      <c r="E134" s="41">
        <f t="shared" si="0"/>
        <v>2161.0100000000002</v>
      </c>
      <c r="F134" s="38">
        <f t="shared" si="0"/>
        <v>4099.8</v>
      </c>
    </row>
    <row r="135" spans="3:6" hidden="1" x14ac:dyDescent="0.25">
      <c r="C135">
        <v>5</v>
      </c>
      <c r="D135" s="11">
        <f t="shared" si="1"/>
        <v>3232.4</v>
      </c>
      <c r="E135" s="41">
        <f t="shared" si="0"/>
        <v>5639.52</v>
      </c>
      <c r="F135" s="38">
        <f t="shared" si="0"/>
        <v>8871.92</v>
      </c>
    </row>
    <row r="136" spans="3:6" x14ac:dyDescent="0.25">
      <c r="D136" s="41">
        <f t="shared" si="1"/>
        <v>0</v>
      </c>
      <c r="E136" s="41">
        <f t="shared" si="0"/>
        <v>4824.2</v>
      </c>
      <c r="F136" s="38">
        <f t="shared" si="0"/>
        <v>4824.2</v>
      </c>
    </row>
    <row r="137" spans="3:6" hidden="1" x14ac:dyDescent="0.25">
      <c r="C137">
        <v>6</v>
      </c>
      <c r="D137" s="41">
        <f t="shared" si="1"/>
        <v>3232.4</v>
      </c>
      <c r="E137" s="41">
        <f t="shared" si="0"/>
        <v>10463.720000000001</v>
      </c>
      <c r="F137" s="38">
        <f t="shared" si="0"/>
        <v>13696.12</v>
      </c>
    </row>
    <row r="138" spans="3:6" x14ac:dyDescent="0.25">
      <c r="D138" s="41">
        <f t="shared" si="1"/>
        <v>688.79</v>
      </c>
      <c r="E138" s="41">
        <f t="shared" si="0"/>
        <v>0</v>
      </c>
      <c r="F138" s="38">
        <f t="shared" si="0"/>
        <v>688.79</v>
      </c>
    </row>
    <row r="139" spans="3:6" hidden="1" x14ac:dyDescent="0.25">
      <c r="C139">
        <v>7</v>
      </c>
      <c r="D139" s="41">
        <f t="shared" si="1"/>
        <v>3921.19</v>
      </c>
      <c r="E139" s="41">
        <f t="shared" si="0"/>
        <v>10463.720000000001</v>
      </c>
      <c r="F139" s="38">
        <f t="shared" si="0"/>
        <v>14384.910000000002</v>
      </c>
    </row>
    <row r="140" spans="3:6" x14ac:dyDescent="0.25">
      <c r="D140" s="41">
        <f t="shared" si="1"/>
        <v>386.2</v>
      </c>
      <c r="E140" s="41">
        <f t="shared" si="0"/>
        <v>0</v>
      </c>
      <c r="F140" s="38">
        <f t="shared" si="0"/>
        <v>386.2</v>
      </c>
    </row>
    <row r="141" spans="3:6" hidden="1" x14ac:dyDescent="0.25">
      <c r="C141">
        <v>8</v>
      </c>
      <c r="D141" s="41">
        <f t="shared" si="1"/>
        <v>4307.3900000000003</v>
      </c>
      <c r="E141" s="41">
        <f t="shared" si="0"/>
        <v>10463.720000000001</v>
      </c>
      <c r="F141" s="38">
        <f t="shared" si="0"/>
        <v>14771.11</v>
      </c>
    </row>
    <row r="142" spans="3:6" x14ac:dyDescent="0.25">
      <c r="D142" s="41">
        <f t="shared" si="1"/>
        <v>5384.47</v>
      </c>
      <c r="E142" s="41">
        <f t="shared" si="0"/>
        <v>0.01</v>
      </c>
      <c r="F142" s="38">
        <f t="shared" si="0"/>
        <v>5384.4800000000005</v>
      </c>
    </row>
    <row r="143" spans="3:6" hidden="1" x14ac:dyDescent="0.25">
      <c r="C143">
        <v>9</v>
      </c>
      <c r="D143" s="41">
        <f t="shared" si="1"/>
        <v>9691.86</v>
      </c>
      <c r="E143" s="41">
        <f t="shared" si="0"/>
        <v>10463.730000000001</v>
      </c>
      <c r="F143" s="38">
        <f t="shared" si="0"/>
        <v>20155.590000000004</v>
      </c>
    </row>
    <row r="144" spans="3:6" x14ac:dyDescent="0.25">
      <c r="D144" s="41">
        <f t="shared" si="1"/>
        <v>0.01</v>
      </c>
      <c r="E144" s="41">
        <f t="shared" si="0"/>
        <v>0</v>
      </c>
      <c r="F144" s="38">
        <f t="shared" si="0"/>
        <v>0.01</v>
      </c>
    </row>
    <row r="145" spans="3:6" hidden="1" x14ac:dyDescent="0.25">
      <c r="C145">
        <v>10</v>
      </c>
      <c r="D145" s="41">
        <f t="shared" si="1"/>
        <v>9691.8700000000008</v>
      </c>
      <c r="E145" s="41">
        <f t="shared" si="0"/>
        <v>10463.730000000001</v>
      </c>
      <c r="F145" s="38">
        <f t="shared" si="0"/>
        <v>20155.600000000002</v>
      </c>
    </row>
    <row r="146" spans="3:6" x14ac:dyDescent="0.25">
      <c r="D146" s="41">
        <f t="shared" si="1"/>
        <v>0</v>
      </c>
      <c r="E146" s="41">
        <f t="shared" ref="E146:F165" si="2">E81</f>
        <v>0</v>
      </c>
      <c r="F146" s="38">
        <f t="shared" si="2"/>
        <v>0</v>
      </c>
    </row>
    <row r="147" spans="3:6" hidden="1" x14ac:dyDescent="0.25">
      <c r="C147">
        <v>11</v>
      </c>
      <c r="D147" s="41">
        <f t="shared" si="1"/>
        <v>9691.8700000000008</v>
      </c>
      <c r="E147" s="41">
        <f t="shared" si="2"/>
        <v>10463.730000000001</v>
      </c>
      <c r="F147" s="38">
        <f t="shared" si="2"/>
        <v>20155.600000000002</v>
      </c>
    </row>
    <row r="148" spans="3:6" x14ac:dyDescent="0.25">
      <c r="D148" s="41">
        <f t="shared" si="1"/>
        <v>128.87</v>
      </c>
      <c r="E148" s="41">
        <f t="shared" si="2"/>
        <v>1185.3399999999999</v>
      </c>
      <c r="F148" s="38">
        <f t="shared" si="2"/>
        <v>1314.21</v>
      </c>
    </row>
    <row r="149" spans="3:6" hidden="1" x14ac:dyDescent="0.25">
      <c r="C149">
        <v>12</v>
      </c>
      <c r="D149" s="41">
        <f t="shared" si="1"/>
        <v>9820.7400000000016</v>
      </c>
      <c r="E149" s="41">
        <f t="shared" si="2"/>
        <v>11649.070000000002</v>
      </c>
      <c r="F149" s="38">
        <f t="shared" si="2"/>
        <v>21469.810000000005</v>
      </c>
    </row>
    <row r="150" spans="3:6" x14ac:dyDescent="0.25">
      <c r="D150" s="41">
        <f t="shared" si="1"/>
        <v>558.54</v>
      </c>
      <c r="E150" s="41">
        <f t="shared" si="2"/>
        <v>4353.33</v>
      </c>
      <c r="F150" s="38">
        <f t="shared" si="2"/>
        <v>4911.87</v>
      </c>
    </row>
    <row r="151" spans="3:6" hidden="1" x14ac:dyDescent="0.25">
      <c r="C151">
        <v>13</v>
      </c>
      <c r="D151" s="41">
        <f t="shared" si="1"/>
        <v>10379.280000000002</v>
      </c>
      <c r="E151" s="41">
        <f t="shared" si="2"/>
        <v>16002.400000000001</v>
      </c>
      <c r="F151" s="38">
        <f t="shared" si="2"/>
        <v>26381.680000000004</v>
      </c>
    </row>
    <row r="152" spans="3:6" x14ac:dyDescent="0.25">
      <c r="D152" s="41">
        <f t="shared" si="1"/>
        <v>5961.75</v>
      </c>
      <c r="E152" s="41">
        <f t="shared" si="2"/>
        <v>2142</v>
      </c>
      <c r="F152" s="38">
        <f t="shared" si="2"/>
        <v>8103.75</v>
      </c>
    </row>
    <row r="153" spans="3:6" hidden="1" x14ac:dyDescent="0.25">
      <c r="C153">
        <v>14</v>
      </c>
      <c r="D153" s="41">
        <f t="shared" si="1"/>
        <v>16341.030000000002</v>
      </c>
      <c r="E153" s="41">
        <f t="shared" si="2"/>
        <v>18144.400000000001</v>
      </c>
      <c r="F153" s="38">
        <f t="shared" si="2"/>
        <v>34485.430000000008</v>
      </c>
    </row>
    <row r="154" spans="3:6" x14ac:dyDescent="0.25">
      <c r="D154" s="41">
        <f t="shared" si="1"/>
        <v>2144.58</v>
      </c>
      <c r="E154" s="41">
        <f t="shared" si="2"/>
        <v>3011.94</v>
      </c>
      <c r="F154" s="38">
        <f t="shared" si="2"/>
        <v>5156.5200000000004</v>
      </c>
    </row>
    <row r="155" spans="3:6" hidden="1" x14ac:dyDescent="0.25">
      <c r="C155">
        <v>15</v>
      </c>
      <c r="D155" s="41">
        <f t="shared" si="1"/>
        <v>18485.61</v>
      </c>
      <c r="E155" s="41">
        <f t="shared" si="2"/>
        <v>21156.34</v>
      </c>
      <c r="F155" s="38">
        <f t="shared" si="2"/>
        <v>39641.949999999997</v>
      </c>
    </row>
    <row r="156" spans="3:6" x14ac:dyDescent="0.25">
      <c r="D156" s="41">
        <f t="shared" si="1"/>
        <v>2163.2800000000002</v>
      </c>
      <c r="E156" s="41">
        <f t="shared" si="2"/>
        <v>433.79</v>
      </c>
      <c r="F156" s="38">
        <f t="shared" si="2"/>
        <v>2597.0700000000002</v>
      </c>
    </row>
    <row r="157" spans="3:6" hidden="1" x14ac:dyDescent="0.25">
      <c r="C157">
        <v>16</v>
      </c>
      <c r="D157" s="41">
        <f t="shared" si="1"/>
        <v>20648.89</v>
      </c>
      <c r="E157" s="41">
        <f t="shared" si="2"/>
        <v>21590.13</v>
      </c>
      <c r="F157" s="38">
        <f t="shared" si="2"/>
        <v>42239.020000000004</v>
      </c>
    </row>
    <row r="158" spans="3:6" x14ac:dyDescent="0.25">
      <c r="D158" s="41">
        <f t="shared" si="1"/>
        <v>0.01</v>
      </c>
      <c r="E158" s="41">
        <f t="shared" si="2"/>
        <v>0.01</v>
      </c>
      <c r="F158" s="38">
        <f t="shared" si="2"/>
        <v>0.02</v>
      </c>
    </row>
    <row r="159" spans="3:6" hidden="1" x14ac:dyDescent="0.25">
      <c r="C159">
        <v>17</v>
      </c>
      <c r="D159" s="41">
        <f t="shared" ref="D159:D187" si="3">D94</f>
        <v>20648.899999999998</v>
      </c>
      <c r="E159" s="41">
        <f t="shared" si="2"/>
        <v>21590.14</v>
      </c>
      <c r="F159" s="38">
        <f t="shared" si="2"/>
        <v>42239.039999999994</v>
      </c>
    </row>
    <row r="160" spans="3:6" x14ac:dyDescent="0.25">
      <c r="D160" s="41">
        <f t="shared" si="3"/>
        <v>0</v>
      </c>
      <c r="E160" s="41">
        <f t="shared" si="2"/>
        <v>0</v>
      </c>
      <c r="F160" s="38">
        <f t="shared" si="2"/>
        <v>0</v>
      </c>
    </row>
    <row r="161" spans="3:6" hidden="1" x14ac:dyDescent="0.25">
      <c r="C161">
        <v>18</v>
      </c>
      <c r="D161" s="41">
        <f t="shared" si="3"/>
        <v>20648.899999999998</v>
      </c>
      <c r="E161" s="38">
        <f t="shared" si="2"/>
        <v>21590.14</v>
      </c>
      <c r="F161" s="38">
        <f t="shared" si="2"/>
        <v>42239.039999999994</v>
      </c>
    </row>
    <row r="162" spans="3:6" x14ac:dyDescent="0.25">
      <c r="D162" s="41">
        <f t="shared" si="3"/>
        <v>0</v>
      </c>
      <c r="E162" s="38">
        <f t="shared" si="2"/>
        <v>887.22</v>
      </c>
      <c r="F162" s="38">
        <f t="shared" si="2"/>
        <v>887.22</v>
      </c>
    </row>
    <row r="163" spans="3:6" hidden="1" x14ac:dyDescent="0.25">
      <c r="C163">
        <v>19</v>
      </c>
      <c r="D163" s="41">
        <f t="shared" si="3"/>
        <v>20648.899999999998</v>
      </c>
      <c r="E163" s="38">
        <f t="shared" si="2"/>
        <v>22477.360000000001</v>
      </c>
      <c r="F163" s="41">
        <f t="shared" si="2"/>
        <v>43126.259999999995</v>
      </c>
    </row>
    <row r="164" spans="3:6" x14ac:dyDescent="0.25">
      <c r="D164" s="41">
        <f t="shared" si="3"/>
        <v>1249.1300000000001</v>
      </c>
      <c r="E164" s="38">
        <f t="shared" si="2"/>
        <v>516.38</v>
      </c>
      <c r="F164" s="41">
        <f t="shared" si="2"/>
        <v>1765.5100000000002</v>
      </c>
    </row>
    <row r="165" spans="3:6" hidden="1" x14ac:dyDescent="0.25">
      <c r="C165">
        <v>20</v>
      </c>
      <c r="D165" s="41">
        <f t="shared" si="3"/>
        <v>21898.03</v>
      </c>
      <c r="E165" s="41">
        <f t="shared" si="2"/>
        <v>22993.74</v>
      </c>
      <c r="F165" s="41">
        <f t="shared" si="2"/>
        <v>44891.770000000004</v>
      </c>
    </row>
    <row r="166" spans="3:6" x14ac:dyDescent="0.25">
      <c r="D166" s="41">
        <f t="shared" si="3"/>
        <v>1249.1300000000001</v>
      </c>
      <c r="E166" s="41">
        <f t="shared" ref="E166:F185" si="4">E101</f>
        <v>1421.55</v>
      </c>
      <c r="F166" s="41">
        <f t="shared" si="4"/>
        <v>2670.6800000000003</v>
      </c>
    </row>
    <row r="167" spans="3:6" hidden="1" x14ac:dyDescent="0.25">
      <c r="C167">
        <v>21</v>
      </c>
      <c r="D167" s="41">
        <f t="shared" si="3"/>
        <v>23147.16</v>
      </c>
      <c r="E167" s="41">
        <f t="shared" si="4"/>
        <v>24415.29</v>
      </c>
      <c r="F167" s="41">
        <f t="shared" si="4"/>
        <v>47562.45</v>
      </c>
    </row>
    <row r="168" spans="3:6" x14ac:dyDescent="0.25">
      <c r="D168" s="41">
        <f t="shared" si="3"/>
        <v>643.95000000000005</v>
      </c>
      <c r="E168" s="41">
        <f t="shared" si="4"/>
        <v>859.2</v>
      </c>
      <c r="F168" s="41">
        <f t="shared" si="4"/>
        <v>1503.15</v>
      </c>
    </row>
    <row r="169" spans="3:6" hidden="1" x14ac:dyDescent="0.25">
      <c r="C169">
        <v>22</v>
      </c>
      <c r="D169" s="41">
        <f t="shared" si="3"/>
        <v>23791.11</v>
      </c>
      <c r="E169" s="41">
        <f t="shared" si="4"/>
        <v>25274.49</v>
      </c>
      <c r="F169" s="41">
        <f t="shared" si="4"/>
        <v>49065.600000000006</v>
      </c>
    </row>
    <row r="170" spans="3:6" x14ac:dyDescent="0.25">
      <c r="D170" s="41">
        <f t="shared" si="3"/>
        <v>0</v>
      </c>
      <c r="E170" s="41">
        <f t="shared" si="4"/>
        <v>0.01</v>
      </c>
      <c r="F170" s="41">
        <f t="shared" si="4"/>
        <v>0.01</v>
      </c>
    </row>
    <row r="171" spans="3:6" hidden="1" x14ac:dyDescent="0.25">
      <c r="C171">
        <v>23</v>
      </c>
      <c r="D171" s="41">
        <f t="shared" si="3"/>
        <v>23791.11</v>
      </c>
      <c r="E171" s="41">
        <f t="shared" si="4"/>
        <v>25274.5</v>
      </c>
      <c r="F171" s="41">
        <f t="shared" si="4"/>
        <v>49065.61</v>
      </c>
    </row>
    <row r="172" spans="3:6" x14ac:dyDescent="0.25">
      <c r="D172" s="41">
        <f t="shared" si="3"/>
        <v>0.01</v>
      </c>
      <c r="E172" s="41">
        <f t="shared" si="4"/>
        <v>3102.71</v>
      </c>
      <c r="F172" s="41">
        <f t="shared" si="4"/>
        <v>3102.7200000000003</v>
      </c>
    </row>
    <row r="173" spans="3:6" hidden="1" x14ac:dyDescent="0.25">
      <c r="C173">
        <v>24</v>
      </c>
      <c r="D173" s="41">
        <f t="shared" si="3"/>
        <v>23791.119999999999</v>
      </c>
      <c r="E173" s="41">
        <f t="shared" si="4"/>
        <v>28377.21</v>
      </c>
      <c r="F173" s="41">
        <f t="shared" si="4"/>
        <v>52168.33</v>
      </c>
    </row>
    <row r="174" spans="3:6" x14ac:dyDescent="0.25">
      <c r="D174" s="41">
        <f t="shared" si="3"/>
        <v>0</v>
      </c>
      <c r="E174" s="41">
        <f t="shared" si="4"/>
        <v>1378.45</v>
      </c>
      <c r="F174" s="41">
        <f t="shared" si="4"/>
        <v>1378.45</v>
      </c>
    </row>
    <row r="175" spans="3:6" hidden="1" x14ac:dyDescent="0.25">
      <c r="C175">
        <v>25</v>
      </c>
      <c r="D175" s="41">
        <f t="shared" si="3"/>
        <v>23791.119999999999</v>
      </c>
      <c r="E175" s="41">
        <f t="shared" si="4"/>
        <v>29755.66</v>
      </c>
      <c r="F175" s="41">
        <f t="shared" si="4"/>
        <v>53546.78</v>
      </c>
    </row>
    <row r="176" spans="3:6" x14ac:dyDescent="0.25">
      <c r="D176" s="41">
        <f t="shared" si="3"/>
        <v>863.88</v>
      </c>
      <c r="E176" s="41">
        <f t="shared" si="4"/>
        <v>0</v>
      </c>
      <c r="F176" s="41">
        <f t="shared" si="4"/>
        <v>863.88</v>
      </c>
    </row>
    <row r="177" spans="3:6" hidden="1" x14ac:dyDescent="0.25">
      <c r="C177">
        <v>26</v>
      </c>
      <c r="D177" s="41">
        <f t="shared" si="3"/>
        <v>24655</v>
      </c>
      <c r="E177" s="41">
        <f t="shared" si="4"/>
        <v>29755.66</v>
      </c>
      <c r="F177" s="41">
        <f t="shared" si="4"/>
        <v>54410.66</v>
      </c>
    </row>
    <row r="178" spans="3:6" x14ac:dyDescent="0.25">
      <c r="D178" s="41">
        <f t="shared" si="3"/>
        <v>2195.7399999999998</v>
      </c>
      <c r="E178" s="41">
        <f t="shared" si="4"/>
        <v>4691.8500000000004</v>
      </c>
      <c r="F178" s="41">
        <f t="shared" si="4"/>
        <v>6887.59</v>
      </c>
    </row>
    <row r="179" spans="3:6" hidden="1" x14ac:dyDescent="0.25">
      <c r="C179">
        <v>27</v>
      </c>
      <c r="D179" s="41">
        <f t="shared" si="3"/>
        <v>26850.739999999998</v>
      </c>
      <c r="E179" s="41">
        <f t="shared" si="4"/>
        <v>34447.51</v>
      </c>
      <c r="F179" s="41">
        <f t="shared" si="4"/>
        <v>61298.25</v>
      </c>
    </row>
    <row r="180" spans="3:6" x14ac:dyDescent="0.25">
      <c r="D180" s="41">
        <f t="shared" si="3"/>
        <v>326.72000000000003</v>
      </c>
      <c r="E180" s="41">
        <f t="shared" si="4"/>
        <v>0</v>
      </c>
      <c r="F180" s="41">
        <f t="shared" si="4"/>
        <v>326.72000000000003</v>
      </c>
    </row>
    <row r="181" spans="3:6" hidden="1" x14ac:dyDescent="0.25">
      <c r="C181">
        <v>28</v>
      </c>
      <c r="D181" s="41">
        <f t="shared" si="3"/>
        <v>27177.46</v>
      </c>
      <c r="E181" s="41">
        <f t="shared" si="4"/>
        <v>34447.51</v>
      </c>
      <c r="F181" s="41">
        <f t="shared" si="4"/>
        <v>61624.97</v>
      </c>
    </row>
    <row r="182" spans="3:6" x14ac:dyDescent="0.25">
      <c r="D182" s="41">
        <f t="shared" si="3"/>
        <v>6028.26</v>
      </c>
      <c r="E182" s="41">
        <f t="shared" si="4"/>
        <v>0.01</v>
      </c>
      <c r="F182" s="41">
        <f t="shared" si="4"/>
        <v>6028.27</v>
      </c>
    </row>
    <row r="183" spans="3:6" hidden="1" x14ac:dyDescent="0.25">
      <c r="C183">
        <v>29</v>
      </c>
      <c r="D183" s="41">
        <f t="shared" si="3"/>
        <v>33205.72</v>
      </c>
      <c r="E183" s="41">
        <f t="shared" si="4"/>
        <v>34447.520000000004</v>
      </c>
      <c r="F183" s="41">
        <f t="shared" si="4"/>
        <v>67653.240000000005</v>
      </c>
    </row>
    <row r="184" spans="3:6" x14ac:dyDescent="0.25">
      <c r="D184" s="41">
        <f t="shared" si="3"/>
        <v>256.89</v>
      </c>
      <c r="E184" s="41">
        <f t="shared" si="4"/>
        <v>0.01</v>
      </c>
      <c r="F184" s="41">
        <f t="shared" si="4"/>
        <v>256.89999999999998</v>
      </c>
    </row>
    <row r="185" spans="3:6" hidden="1" x14ac:dyDescent="0.25">
      <c r="C185">
        <v>30</v>
      </c>
      <c r="D185" s="41">
        <f t="shared" si="3"/>
        <v>33462.61</v>
      </c>
      <c r="E185" s="41">
        <f t="shared" si="4"/>
        <v>34447.530000000006</v>
      </c>
      <c r="F185" s="41">
        <f t="shared" si="4"/>
        <v>67910.140000000014</v>
      </c>
    </row>
    <row r="186" spans="3:6" x14ac:dyDescent="0.25">
      <c r="D186" s="41">
        <f t="shared" si="3"/>
        <v>0</v>
      </c>
      <c r="E186" s="41">
        <f t="shared" ref="E186:F187" si="5">E121</f>
        <v>0</v>
      </c>
      <c r="F186" s="41">
        <f t="shared" si="5"/>
        <v>0</v>
      </c>
    </row>
    <row r="187" spans="3:6" hidden="1" x14ac:dyDescent="0.25">
      <c r="C187">
        <v>31</v>
      </c>
      <c r="D187" s="41">
        <f t="shared" si="3"/>
        <v>33462.61</v>
      </c>
      <c r="E187" s="41">
        <f t="shared" si="5"/>
        <v>34447.530000000006</v>
      </c>
      <c r="F187" s="41">
        <f t="shared" si="5"/>
        <v>67910.140000000014</v>
      </c>
    </row>
  </sheetData>
  <mergeCells count="12">
    <mergeCell ref="Z98:AB98"/>
    <mergeCell ref="AC98:AD98"/>
    <mergeCell ref="AG98:AI98"/>
    <mergeCell ref="AJ98:AK98"/>
    <mergeCell ref="Z94:AB94"/>
    <mergeCell ref="AC94:AD94"/>
    <mergeCell ref="AG94:AI94"/>
    <mergeCell ref="AJ94:AK94"/>
    <mergeCell ref="Z96:AB96"/>
    <mergeCell ref="AC96:AD96"/>
    <mergeCell ref="AG96:AI96"/>
    <mergeCell ref="AJ96:AK96"/>
  </mergeCells>
  <conditionalFormatting sqref="Q66:Q67">
    <cfRule type="cellIs" dxfId="65" priority="12" operator="greaterThan">
      <formula>88000</formula>
    </cfRule>
  </conditionalFormatting>
  <conditionalFormatting sqref="AC98:AD99">
    <cfRule type="cellIs" dxfId="64" priority="10" operator="lessThan">
      <formula>0</formula>
    </cfRule>
  </conditionalFormatting>
  <conditionalFormatting sqref="AJ98:AK99">
    <cfRule type="cellIs" dxfId="63" priority="11" operator="lessThan">
      <formula>0</formula>
    </cfRule>
  </conditionalFormatting>
  <conditionalFormatting sqref="AC94:AD95">
    <cfRule type="cellIs" dxfId="62" priority="9" operator="greaterThan">
      <formula>44000</formula>
    </cfRule>
  </conditionalFormatting>
  <conditionalFormatting sqref="AJ94:AK95">
    <cfRule type="cellIs" dxfId="61" priority="8" operator="greaterThan">
      <formula>44000</formula>
    </cfRule>
  </conditionalFormatting>
  <conditionalFormatting sqref="Q66:R67">
    <cfRule type="cellIs" dxfId="60" priority="7" operator="greaterThan">
      <formula>88000</formula>
    </cfRule>
  </conditionalFormatting>
  <conditionalFormatting sqref="P72:R75">
    <cfRule type="containsText" dxfId="59" priority="6" operator="containsText" text="¡FELICIDADES CARLOS!">
      <formula>NOT(ISERROR(SEARCH("¡FELICIDADES CARLOS!",P72)))</formula>
    </cfRule>
  </conditionalFormatting>
  <conditionalFormatting sqref="P62:R65">
    <cfRule type="containsText" dxfId="58" priority="5" operator="containsText" text="¡FELICIDADES JUAN!">
      <formula>NOT(ISERROR(SEARCH("¡FELICIDADES JUAN!",P62)))</formula>
    </cfRule>
  </conditionalFormatting>
  <conditionalFormatting sqref="Q68:R69">
    <cfRule type="cellIs" dxfId="57" priority="4" operator="greaterThan">
      <formula>0.95</formula>
    </cfRule>
  </conditionalFormatting>
  <conditionalFormatting sqref="AJ96:AK97">
    <cfRule type="cellIs" dxfId="56" priority="3" operator="greaterThan">
      <formula>0.95</formula>
    </cfRule>
  </conditionalFormatting>
  <conditionalFormatting sqref="AC96:AD97">
    <cfRule type="cellIs" dxfId="55" priority="2" operator="greaterThan">
      <formula>0.95</formula>
    </cfRule>
  </conditionalFormatting>
  <conditionalFormatting sqref="Q70:R71">
    <cfRule type="cellIs" dxfId="54" priority="1" operator="lessThan">
      <formula>0</formula>
    </cfRule>
  </conditionalFormatting>
  <dataValidations count="3">
    <dataValidation allowBlank="1" showInputMessage="1" showErrorMessage="1" errorTitle="Día" sqref="K59 J60:J89" xr:uid="{00000000-0002-0000-0100-000002000000}"/>
    <dataValidation type="list" allowBlank="1" showInputMessage="1" showErrorMessage="1" sqref="B2" xr:uid="{00000000-0002-0000-0100-000001000000}">
      <formula1>#REF!</formula1>
    </dataValidation>
    <dataValidation type="whole" showInputMessage="1" showErrorMessage="1" sqref="B55" xr:uid="{00000000-0002-0000-0100-000000000000}">
      <formula1>1</formula1>
      <formula2>31</formula2>
    </dataValidation>
  </dataValidation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152FE-D0A8-45AD-83CE-1F3E222009FC}">
  <dimension ref="A1:AF33"/>
  <sheetViews>
    <sheetView showGridLines="0" zoomScale="90" zoomScaleNormal="90" workbookViewId="0">
      <selection activeCell="R14" sqref="R14"/>
    </sheetView>
  </sheetViews>
  <sheetFormatPr baseColWidth="10" defaultRowHeight="15" x14ac:dyDescent="0.25"/>
  <cols>
    <col min="1" max="1" width="3.140625" customWidth="1"/>
    <col min="2" max="3" width="3.5703125" customWidth="1"/>
    <col min="4" max="4" width="4.28515625" customWidth="1"/>
    <col min="5" max="5" width="19" customWidth="1"/>
    <col min="6" max="7" width="4.28515625" customWidth="1"/>
    <col min="8" max="8" width="18.5703125" customWidth="1"/>
    <col min="9" max="9" width="4.28515625" customWidth="1"/>
    <col min="10" max="10" width="4.42578125" customWidth="1"/>
    <col min="11" max="11" width="4.28515625" customWidth="1"/>
    <col min="12" max="12" width="18.5703125" customWidth="1"/>
    <col min="13" max="13" width="4.42578125" customWidth="1"/>
    <col min="14" max="14" width="4.28515625" customWidth="1"/>
    <col min="15" max="15" width="18.42578125" customWidth="1"/>
    <col min="16" max="16" width="4.42578125" customWidth="1"/>
    <col min="18" max="18" width="13.5703125" bestFit="1" customWidth="1"/>
    <col min="19" max="19" width="11.42578125" customWidth="1"/>
    <col min="20" max="20" width="13.5703125" bestFit="1" customWidth="1"/>
    <col min="24" max="24" width="16.140625" customWidth="1"/>
    <col min="25" max="25" width="15.42578125" customWidth="1"/>
    <col min="27" max="27" width="2.85546875" style="54" customWidth="1"/>
    <col min="28" max="28" width="2.7109375" customWidth="1"/>
    <col min="29" max="29" width="27.85546875" customWidth="1"/>
    <col min="30" max="31" width="15.7109375" customWidth="1"/>
  </cols>
  <sheetData>
    <row r="1" spans="1:32" ht="13.5" customHeight="1" x14ac:dyDescent="0.25">
      <c r="A1" s="54"/>
      <c r="B1" s="58"/>
      <c r="AB1" s="54"/>
      <c r="AC1" s="54"/>
      <c r="AD1" s="54"/>
      <c r="AE1" s="54"/>
      <c r="AF1" s="54"/>
    </row>
    <row r="2" spans="1:32" ht="12.75" customHeight="1" x14ac:dyDescent="0.25">
      <c r="A2" s="58"/>
      <c r="B2" s="58"/>
      <c r="D2" s="111" t="s">
        <v>26</v>
      </c>
      <c r="E2" s="112"/>
      <c r="F2" s="112"/>
      <c r="G2" s="112"/>
      <c r="H2" s="113"/>
      <c r="I2" s="16"/>
      <c r="J2" s="16"/>
      <c r="K2" s="111" t="s">
        <v>27</v>
      </c>
      <c r="L2" s="112"/>
      <c r="M2" s="112"/>
      <c r="N2" s="112"/>
      <c r="O2" s="113"/>
      <c r="AB2" s="104" t="s">
        <v>20</v>
      </c>
      <c r="AC2" s="104"/>
      <c r="AD2" s="104"/>
      <c r="AE2" s="104"/>
      <c r="AF2" s="54"/>
    </row>
    <row r="3" spans="1:32" ht="12" customHeight="1" x14ac:dyDescent="0.25">
      <c r="D3" s="77"/>
      <c r="E3" s="77"/>
      <c r="F3" s="77"/>
      <c r="AB3" s="104"/>
      <c r="AC3" s="104"/>
      <c r="AD3" s="104"/>
      <c r="AE3" s="104"/>
      <c r="AF3" s="54"/>
    </row>
    <row r="4" spans="1:32" x14ac:dyDescent="0.25">
      <c r="D4" s="6">
        <v>1</v>
      </c>
      <c r="E4" s="7">
        <v>386.2</v>
      </c>
      <c r="F4" s="8"/>
      <c r="G4" s="6">
        <v>16</v>
      </c>
      <c r="H4" s="7">
        <v>3489.28</v>
      </c>
      <c r="I4" s="8"/>
      <c r="J4" s="8"/>
      <c r="K4" s="6">
        <v>1</v>
      </c>
      <c r="L4" s="7">
        <v>1175.3599999999999</v>
      </c>
      <c r="M4" s="8"/>
      <c r="N4" s="6">
        <v>16</v>
      </c>
      <c r="O4" s="7">
        <v>2519.81</v>
      </c>
      <c r="P4" s="8"/>
      <c r="Q4" s="8"/>
      <c r="R4" s="136" t="str">
        <f>IF(G21&gt;AD6,"¡FELICIDADES JORGE!","SIGUE PARTICIPANDO")</f>
        <v>¡FELICIDADES JORGE!</v>
      </c>
      <c r="S4" s="136"/>
      <c r="T4" s="136"/>
      <c r="U4" s="136"/>
      <c r="AB4" s="54"/>
      <c r="AC4" s="76"/>
      <c r="AD4" s="76"/>
      <c r="AE4" s="54"/>
      <c r="AF4" s="54"/>
    </row>
    <row r="5" spans="1:32" x14ac:dyDescent="0.25">
      <c r="D5" s="8">
        <v>2</v>
      </c>
      <c r="E5" s="9">
        <v>2234.0300000000002</v>
      </c>
      <c r="F5" s="8"/>
      <c r="G5" s="8">
        <v>17</v>
      </c>
      <c r="H5" s="9">
        <v>2663.77</v>
      </c>
      <c r="I5" s="8"/>
      <c r="J5" s="8"/>
      <c r="K5" s="8">
        <v>2</v>
      </c>
      <c r="L5" s="9">
        <v>3361.2</v>
      </c>
      <c r="M5" s="8"/>
      <c r="N5" s="8">
        <v>17</v>
      </c>
      <c r="O5" s="9">
        <v>2292.7399999999998</v>
      </c>
      <c r="P5" s="8"/>
      <c r="Q5" s="8"/>
      <c r="R5" s="136"/>
      <c r="S5" s="136"/>
      <c r="T5" s="136"/>
      <c r="U5" s="136"/>
      <c r="AB5" s="105" t="s">
        <v>21</v>
      </c>
      <c r="AC5" s="105"/>
      <c r="AD5" s="105"/>
      <c r="AE5" s="105"/>
      <c r="AF5" s="105"/>
    </row>
    <row r="6" spans="1:32" x14ac:dyDescent="0.25">
      <c r="D6" s="6">
        <v>3</v>
      </c>
      <c r="E6" s="7">
        <v>0</v>
      </c>
      <c r="F6" s="8"/>
      <c r="G6" s="6">
        <v>18</v>
      </c>
      <c r="H6" s="7">
        <v>3931.46</v>
      </c>
      <c r="I6" s="8"/>
      <c r="J6" s="8"/>
      <c r="K6" s="6">
        <v>3</v>
      </c>
      <c r="L6" s="7">
        <v>2498.44</v>
      </c>
      <c r="M6" s="8"/>
      <c r="N6" s="6">
        <v>18</v>
      </c>
      <c r="O6" s="7">
        <v>343.1</v>
      </c>
      <c r="P6" s="8"/>
      <c r="Q6" s="8"/>
      <c r="R6" s="109" t="s">
        <v>0</v>
      </c>
      <c r="S6" s="110"/>
      <c r="T6" s="115">
        <f>SUM(G21,N21,N29)</f>
        <v>76381.080000000016</v>
      </c>
      <c r="U6" s="116"/>
      <c r="AC6" s="53" t="s">
        <v>18</v>
      </c>
      <c r="AD6" s="41">
        <f>T7/2</f>
        <v>22500</v>
      </c>
    </row>
    <row r="7" spans="1:32" x14ac:dyDescent="0.25">
      <c r="D7" s="8">
        <v>4</v>
      </c>
      <c r="E7" s="11">
        <v>300</v>
      </c>
      <c r="F7" s="8"/>
      <c r="G7" s="8">
        <v>19</v>
      </c>
      <c r="H7" s="11">
        <v>561.22</v>
      </c>
      <c r="I7" s="8"/>
      <c r="J7" s="8"/>
      <c r="K7" s="8">
        <v>4</v>
      </c>
      <c r="L7" s="9">
        <v>6480.65</v>
      </c>
      <c r="M7" s="8"/>
      <c r="N7" s="8">
        <v>19</v>
      </c>
      <c r="O7" s="11">
        <v>0.01</v>
      </c>
      <c r="P7" s="8"/>
      <c r="Q7" s="8"/>
      <c r="R7" s="109" t="s">
        <v>17</v>
      </c>
      <c r="S7" s="110"/>
      <c r="T7" s="106">
        <v>45000</v>
      </c>
      <c r="U7" s="107"/>
      <c r="W7" s="41"/>
      <c r="AC7" s="53" t="s">
        <v>19</v>
      </c>
      <c r="AD7" s="41">
        <f>AD6*0.95</f>
        <v>21375</v>
      </c>
    </row>
    <row r="8" spans="1:32" x14ac:dyDescent="0.25">
      <c r="D8" s="6">
        <v>5</v>
      </c>
      <c r="E8" s="7">
        <v>0</v>
      </c>
      <c r="F8" s="8"/>
      <c r="G8" s="6">
        <v>20</v>
      </c>
      <c r="H8" s="7">
        <v>0.01</v>
      </c>
      <c r="I8" s="8"/>
      <c r="J8" s="8"/>
      <c r="K8" s="6">
        <v>5</v>
      </c>
      <c r="L8" s="7">
        <v>0.01</v>
      </c>
      <c r="M8" s="8"/>
      <c r="N8" s="6">
        <v>20</v>
      </c>
      <c r="O8" s="7">
        <v>687.06</v>
      </c>
      <c r="P8" s="8"/>
      <c r="Q8" s="8"/>
      <c r="R8" s="109" t="s">
        <v>4</v>
      </c>
      <c r="S8" s="110"/>
      <c r="T8" s="119">
        <f>T6/T7</f>
        <v>1.6973573333333336</v>
      </c>
      <c r="U8" s="120"/>
      <c r="AC8" s="53" t="s">
        <v>22</v>
      </c>
      <c r="AD8" s="47">
        <f>IF(G21&gt;AD7,G21*0.011,0)</f>
        <v>308.87317999999999</v>
      </c>
      <c r="AE8" s="47">
        <f>IF(N21&gt;AD7,N21*0.011,0)</f>
        <v>525.02285000000006</v>
      </c>
    </row>
    <row r="9" spans="1:32" x14ac:dyDescent="0.25">
      <c r="D9" s="8">
        <v>6</v>
      </c>
      <c r="E9" s="9">
        <v>0.01</v>
      </c>
      <c r="F9" s="8"/>
      <c r="G9" s="8">
        <v>21</v>
      </c>
      <c r="H9" s="11">
        <v>0</v>
      </c>
      <c r="I9" s="8"/>
      <c r="J9" s="8"/>
      <c r="K9" s="8">
        <v>6</v>
      </c>
      <c r="L9" s="9">
        <v>0</v>
      </c>
      <c r="M9" s="8"/>
      <c r="N9" s="8">
        <v>21</v>
      </c>
      <c r="O9" s="9">
        <v>947.41</v>
      </c>
      <c r="P9" s="8"/>
      <c r="Q9" s="8"/>
      <c r="R9" s="109" t="s">
        <v>2</v>
      </c>
      <c r="S9" s="110"/>
      <c r="T9" s="115">
        <f>T7-T6</f>
        <v>-31381.080000000016</v>
      </c>
      <c r="U9" s="116"/>
      <c r="W9" s="5"/>
      <c r="X9" s="5"/>
    </row>
    <row r="10" spans="1:32" x14ac:dyDescent="0.25">
      <c r="D10" s="6">
        <v>7</v>
      </c>
      <c r="E10" s="7">
        <v>0</v>
      </c>
      <c r="F10" s="8"/>
      <c r="G10" s="6">
        <v>22</v>
      </c>
      <c r="H10" s="7">
        <v>0</v>
      </c>
      <c r="I10" s="8"/>
      <c r="J10" s="8"/>
      <c r="K10" s="6">
        <v>7</v>
      </c>
      <c r="L10" s="7">
        <v>0</v>
      </c>
      <c r="M10" s="8"/>
      <c r="N10" s="6">
        <v>22</v>
      </c>
      <c r="O10" s="7">
        <v>0</v>
      </c>
      <c r="P10" s="8"/>
      <c r="Q10" s="8"/>
      <c r="R10" s="136" t="str">
        <f>IF(N21&gt;AD6,"¡FELICIDADES CARLOS!","SIGUE PARTICIPANDO")</f>
        <v>¡FELICIDADES CARLOS!</v>
      </c>
      <c r="S10" s="136"/>
      <c r="T10" s="136"/>
      <c r="U10" s="136"/>
      <c r="AC10" s="53" t="s">
        <v>24</v>
      </c>
      <c r="AD10" s="41">
        <f>T7*0.1</f>
        <v>4500</v>
      </c>
    </row>
    <row r="11" spans="1:32" x14ac:dyDescent="0.25">
      <c r="D11" s="8">
        <v>8</v>
      </c>
      <c r="E11" s="9">
        <v>0</v>
      </c>
      <c r="F11" s="8"/>
      <c r="G11" s="8">
        <v>23</v>
      </c>
      <c r="H11" s="9">
        <v>171.21</v>
      </c>
      <c r="I11" s="8"/>
      <c r="J11" s="8"/>
      <c r="K11" s="8">
        <v>8</v>
      </c>
      <c r="L11" s="9">
        <v>0</v>
      </c>
      <c r="M11" s="8"/>
      <c r="N11" s="8">
        <v>23</v>
      </c>
      <c r="O11" s="9">
        <v>1979.31</v>
      </c>
      <c r="P11" s="8"/>
      <c r="Q11" s="8"/>
      <c r="R11" s="136"/>
      <c r="S11" s="136"/>
      <c r="T11" s="136"/>
      <c r="U11" s="136"/>
      <c r="W11" s="5"/>
      <c r="X11" s="5"/>
    </row>
    <row r="12" spans="1:32" x14ac:dyDescent="0.25">
      <c r="D12" s="6">
        <v>9</v>
      </c>
      <c r="E12" s="7">
        <v>0</v>
      </c>
      <c r="F12" s="8"/>
      <c r="G12" s="6">
        <v>24</v>
      </c>
      <c r="H12" s="7">
        <v>7151.67</v>
      </c>
      <c r="I12" s="8"/>
      <c r="J12" s="8"/>
      <c r="K12" s="6">
        <v>9</v>
      </c>
      <c r="L12" s="7">
        <v>0</v>
      </c>
      <c r="M12" s="8"/>
      <c r="N12" s="6">
        <v>24</v>
      </c>
      <c r="O12" s="7">
        <v>344.17</v>
      </c>
      <c r="P12" s="8"/>
      <c r="Q12" s="8"/>
      <c r="AE12" s="41"/>
    </row>
    <row r="13" spans="1:32" x14ac:dyDescent="0.25">
      <c r="D13" s="8">
        <v>10</v>
      </c>
      <c r="E13" s="9">
        <v>0</v>
      </c>
      <c r="F13" s="8"/>
      <c r="G13" s="8">
        <v>25</v>
      </c>
      <c r="H13" s="11">
        <v>2154.31</v>
      </c>
      <c r="I13" s="8"/>
      <c r="J13" s="8"/>
      <c r="K13" s="8">
        <v>10</v>
      </c>
      <c r="L13" s="9">
        <v>0</v>
      </c>
      <c r="M13" s="8"/>
      <c r="N13" s="8">
        <v>25</v>
      </c>
      <c r="O13" s="9">
        <v>0</v>
      </c>
      <c r="P13" s="8"/>
      <c r="AE13" s="41"/>
    </row>
    <row r="14" spans="1:32" x14ac:dyDescent="0.25">
      <c r="D14" s="6">
        <v>11</v>
      </c>
      <c r="E14" s="7">
        <v>1550.86</v>
      </c>
      <c r="F14" s="8"/>
      <c r="G14" s="6">
        <v>26</v>
      </c>
      <c r="H14" s="7">
        <v>945.68</v>
      </c>
      <c r="I14" s="8"/>
      <c r="J14" s="8"/>
      <c r="K14" s="6">
        <v>11</v>
      </c>
      <c r="L14" s="7">
        <v>1981.89</v>
      </c>
      <c r="M14" s="8"/>
      <c r="N14" s="6">
        <v>26</v>
      </c>
      <c r="O14" s="7">
        <v>0.01</v>
      </c>
      <c r="P14" s="8"/>
      <c r="AC14" s="105" t="s">
        <v>28</v>
      </c>
      <c r="AD14" s="105"/>
      <c r="AE14" s="41"/>
    </row>
    <row r="15" spans="1:32" x14ac:dyDescent="0.25">
      <c r="D15" s="8">
        <v>12</v>
      </c>
      <c r="E15" s="9">
        <v>0</v>
      </c>
      <c r="F15" s="8"/>
      <c r="G15" s="8">
        <v>27</v>
      </c>
      <c r="H15" s="11">
        <v>0.01</v>
      </c>
      <c r="I15" s="8"/>
      <c r="J15" s="8"/>
      <c r="K15" s="8">
        <v>12</v>
      </c>
      <c r="L15" s="11">
        <v>0.01</v>
      </c>
      <c r="M15" s="8"/>
      <c r="N15" s="8">
        <v>27</v>
      </c>
      <c r="O15" s="9">
        <v>2624.58</v>
      </c>
      <c r="P15" s="8"/>
      <c r="R15" s="132"/>
      <c r="S15" s="132"/>
      <c r="AC15" s="59"/>
      <c r="AD15" s="59" t="s">
        <v>29</v>
      </c>
    </row>
    <row r="16" spans="1:32" x14ac:dyDescent="0.25">
      <c r="D16" s="6">
        <v>13</v>
      </c>
      <c r="E16" s="7">
        <v>0.01</v>
      </c>
      <c r="F16" s="8"/>
      <c r="G16" s="6">
        <v>28</v>
      </c>
      <c r="H16" s="7">
        <v>0</v>
      </c>
      <c r="I16" s="8"/>
      <c r="J16" s="8"/>
      <c r="K16" s="6">
        <v>13</v>
      </c>
      <c r="L16" s="7">
        <v>0</v>
      </c>
      <c r="M16" s="8"/>
      <c r="N16" s="6">
        <v>28</v>
      </c>
      <c r="O16" s="7">
        <v>3841.36</v>
      </c>
      <c r="P16" s="8"/>
      <c r="R16" s="132"/>
      <c r="S16" s="132"/>
      <c r="V16" s="41"/>
      <c r="AC16" s="86"/>
      <c r="AD16" s="49">
        <f>SUM(AC16:AC25)</f>
        <v>0</v>
      </c>
    </row>
    <row r="17" spans="4:31" x14ac:dyDescent="0.25">
      <c r="D17" s="8">
        <v>14</v>
      </c>
      <c r="E17" s="9">
        <v>0</v>
      </c>
      <c r="F17" s="8"/>
      <c r="G17" s="8">
        <v>29</v>
      </c>
      <c r="H17" s="9">
        <v>0</v>
      </c>
      <c r="I17" s="8"/>
      <c r="J17" s="8"/>
      <c r="K17" s="8">
        <v>14</v>
      </c>
      <c r="L17" s="9">
        <v>4080.92</v>
      </c>
      <c r="M17" s="8"/>
      <c r="N17" s="8">
        <v>29</v>
      </c>
      <c r="O17" s="11">
        <v>300</v>
      </c>
      <c r="P17" s="8"/>
      <c r="R17" s="132"/>
      <c r="S17" s="132"/>
      <c r="V17" s="41"/>
      <c r="AC17" s="61"/>
    </row>
    <row r="18" spans="4:31" x14ac:dyDescent="0.25">
      <c r="D18" s="6">
        <v>15</v>
      </c>
      <c r="E18" s="7">
        <v>343.1</v>
      </c>
      <c r="F18" s="8"/>
      <c r="G18" s="6">
        <v>30</v>
      </c>
      <c r="H18" s="7">
        <v>0</v>
      </c>
      <c r="I18" s="8"/>
      <c r="J18" s="8"/>
      <c r="K18" s="6">
        <v>15</v>
      </c>
      <c r="L18" s="7">
        <v>5705.79</v>
      </c>
      <c r="M18" s="8"/>
      <c r="N18" s="6">
        <v>30</v>
      </c>
      <c r="O18" s="7">
        <v>4740.5200000000004</v>
      </c>
      <c r="P18" s="8"/>
      <c r="AC18" s="61"/>
    </row>
    <row r="19" spans="4:31" ht="15" customHeight="1" x14ac:dyDescent="0.25">
      <c r="D19" s="8"/>
      <c r="E19" s="11"/>
      <c r="F19" s="8"/>
      <c r="G19" s="8">
        <v>31</v>
      </c>
      <c r="H19" s="11">
        <v>2196.5500000000002</v>
      </c>
      <c r="I19" s="8"/>
      <c r="J19" s="8"/>
      <c r="K19" s="8"/>
      <c r="L19" s="11"/>
      <c r="M19" s="8"/>
      <c r="N19" s="8">
        <v>31</v>
      </c>
      <c r="O19" s="11">
        <v>1825</v>
      </c>
      <c r="P19" s="8"/>
      <c r="Q19" s="41"/>
      <c r="Y19" s="51"/>
      <c r="Z19" s="51"/>
      <c r="AA19" s="51"/>
      <c r="AB19" s="51"/>
      <c r="AC19" s="61"/>
    </row>
    <row r="20" spans="4:31" ht="15" customHeight="1" x14ac:dyDescent="0.25"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Y20" s="51"/>
      <c r="Z20" s="51"/>
      <c r="AA20" s="51"/>
      <c r="AB20" s="51"/>
      <c r="AC20" s="61"/>
      <c r="AE20" s="41"/>
    </row>
    <row r="21" spans="4:31" x14ac:dyDescent="0.25">
      <c r="D21" s="89" t="s">
        <v>1</v>
      </c>
      <c r="E21" s="89"/>
      <c r="F21" s="89"/>
      <c r="G21" s="108">
        <f>SUM(E4:E18,H4:H19)</f>
        <v>28079.38</v>
      </c>
      <c r="H21" s="108"/>
      <c r="I21" s="8"/>
      <c r="J21" s="8"/>
      <c r="K21" s="89" t="s">
        <v>1</v>
      </c>
      <c r="L21" s="89"/>
      <c r="M21" s="89"/>
      <c r="N21" s="108">
        <f>SUM(L4:L18,O4:O19)</f>
        <v>47729.350000000006</v>
      </c>
      <c r="O21" s="108"/>
      <c r="P21" s="8"/>
      <c r="Z21" s="85"/>
      <c r="AA21"/>
      <c r="AB21" s="9"/>
      <c r="AC21" s="61"/>
      <c r="AE21" s="41"/>
    </row>
    <row r="22" spans="4:31" x14ac:dyDescent="0.25">
      <c r="D22" s="89" t="s">
        <v>3</v>
      </c>
      <c r="E22" s="89"/>
      <c r="F22" s="89"/>
      <c r="G22" s="90">
        <f>G21/AD6</f>
        <v>1.2479724444444444</v>
      </c>
      <c r="H22" s="90"/>
      <c r="I22" s="8"/>
      <c r="J22" s="8"/>
      <c r="K22" s="89" t="s">
        <v>3</v>
      </c>
      <c r="L22" s="89"/>
      <c r="M22" s="89"/>
      <c r="N22" s="90">
        <f>N21/AD6</f>
        <v>2.1213044444444447</v>
      </c>
      <c r="O22" s="90"/>
      <c r="P22" s="8"/>
      <c r="X22" s="85"/>
      <c r="Y22" s="85"/>
      <c r="Z22" s="85"/>
      <c r="AA22" s="52"/>
      <c r="AB22" s="52"/>
      <c r="AC22" s="61"/>
      <c r="AE22" s="41"/>
    </row>
    <row r="23" spans="4:31" x14ac:dyDescent="0.25">
      <c r="D23" s="89" t="s">
        <v>14</v>
      </c>
      <c r="E23" s="89"/>
      <c r="F23" s="89"/>
      <c r="G23" s="95">
        <f>AD8</f>
        <v>308.87317999999999</v>
      </c>
      <c r="H23" s="95"/>
      <c r="I23" s="8"/>
      <c r="J23" s="8"/>
      <c r="K23" s="89" t="s">
        <v>14</v>
      </c>
      <c r="L23" s="89"/>
      <c r="M23" s="89"/>
      <c r="N23" s="94">
        <f>AE8</f>
        <v>525.02285000000006</v>
      </c>
      <c r="O23" s="94"/>
      <c r="P23" s="8"/>
      <c r="AC23" s="61"/>
    </row>
    <row r="24" spans="4:31" x14ac:dyDescent="0.25">
      <c r="D24" s="89" t="s">
        <v>2</v>
      </c>
      <c r="E24" s="89"/>
      <c r="F24" s="89"/>
      <c r="G24" s="93">
        <f>AD6-G21</f>
        <v>-5579.380000000001</v>
      </c>
      <c r="H24" s="93"/>
      <c r="K24" s="89" t="s">
        <v>2</v>
      </c>
      <c r="L24" s="89"/>
      <c r="M24" s="89"/>
      <c r="N24" s="93">
        <f>AD6-N21</f>
        <v>-25229.350000000006</v>
      </c>
      <c r="O24" s="93"/>
      <c r="X24" s="16"/>
      <c r="Y24" s="16"/>
      <c r="Z24" s="16"/>
      <c r="AA24" s="50"/>
      <c r="AB24" s="50"/>
      <c r="AC24" s="61"/>
    </row>
    <row r="25" spans="4:31" ht="12" customHeight="1" x14ac:dyDescent="0.25">
      <c r="AC25" s="62"/>
    </row>
    <row r="26" spans="4:31" ht="12" customHeight="1" x14ac:dyDescent="0.25">
      <c r="E26" s="41"/>
      <c r="L26" s="47"/>
      <c r="M26" s="47"/>
      <c r="N26" s="47"/>
      <c r="O26" s="47"/>
    </row>
    <row r="27" spans="4:31" ht="15.75" x14ac:dyDescent="0.25">
      <c r="D27" s="96" t="s">
        <v>15</v>
      </c>
      <c r="E27" s="97"/>
      <c r="F27" s="97"/>
      <c r="G27" s="97"/>
      <c r="H27" s="98"/>
    </row>
    <row r="28" spans="4:31" ht="12" customHeight="1" x14ac:dyDescent="0.25">
      <c r="D28" s="75"/>
      <c r="E28" s="75"/>
      <c r="F28" s="75"/>
      <c r="G28" s="75"/>
      <c r="H28" s="75"/>
      <c r="R28" s="8"/>
    </row>
    <row r="29" spans="4:31" x14ac:dyDescent="0.25">
      <c r="D29">
        <v>1</v>
      </c>
      <c r="E29" s="49">
        <v>572.35</v>
      </c>
      <c r="G29">
        <v>5</v>
      </c>
      <c r="H29" s="49">
        <v>0</v>
      </c>
      <c r="K29" s="133" t="s">
        <v>16</v>
      </c>
      <c r="L29" s="134"/>
      <c r="M29" s="135"/>
      <c r="N29" s="102">
        <f>SUM(E29:E32,H29:H32)</f>
        <v>572.35</v>
      </c>
      <c r="O29" s="103"/>
      <c r="Q29" s="8"/>
      <c r="R29" s="8"/>
    </row>
    <row r="30" spans="4:31" x14ac:dyDescent="0.25">
      <c r="D30">
        <v>2</v>
      </c>
      <c r="E30" s="47">
        <v>0</v>
      </c>
      <c r="G30">
        <v>6</v>
      </c>
      <c r="H30" s="47">
        <v>0</v>
      </c>
      <c r="K30" s="121" t="s">
        <v>3</v>
      </c>
      <c r="L30" s="121"/>
      <c r="M30" s="121"/>
      <c r="N30" s="122">
        <f>N29/AD10</f>
        <v>0.12718888888888891</v>
      </c>
      <c r="O30" s="122"/>
      <c r="Q30" s="8"/>
      <c r="R30" s="38"/>
    </row>
    <row r="31" spans="4:31" x14ac:dyDescent="0.25">
      <c r="D31">
        <v>3</v>
      </c>
      <c r="E31" s="49">
        <v>0</v>
      </c>
      <c r="G31">
        <v>7</v>
      </c>
      <c r="H31" s="49">
        <v>0</v>
      </c>
      <c r="Q31" s="8"/>
      <c r="AA31"/>
    </row>
    <row r="32" spans="4:31" x14ac:dyDescent="0.25">
      <c r="D32">
        <v>4</v>
      </c>
      <c r="E32" s="47">
        <v>0</v>
      </c>
      <c r="G32">
        <v>8</v>
      </c>
      <c r="H32" s="47">
        <v>0</v>
      </c>
      <c r="AA32"/>
    </row>
    <row r="33" spans="5:27" x14ac:dyDescent="0.25">
      <c r="E33" s="59"/>
      <c r="H33" s="59"/>
      <c r="M33" s="41"/>
      <c r="R33" s="41"/>
      <c r="X33" s="54"/>
      <c r="AA33"/>
    </row>
  </sheetData>
  <mergeCells count="39">
    <mergeCell ref="T6:U6"/>
    <mergeCell ref="R17:S17"/>
    <mergeCell ref="D24:F24"/>
    <mergeCell ref="G24:H24"/>
    <mergeCell ref="K24:M24"/>
    <mergeCell ref="N24:O24"/>
    <mergeCell ref="D23:F23"/>
    <mergeCell ref="K23:M23"/>
    <mergeCell ref="N23:O23"/>
    <mergeCell ref="G23:H23"/>
    <mergeCell ref="D22:F22"/>
    <mergeCell ref="G22:H22"/>
    <mergeCell ref="K22:M22"/>
    <mergeCell ref="N22:O22"/>
    <mergeCell ref="D27:H27"/>
    <mergeCell ref="K29:M29"/>
    <mergeCell ref="N29:O29"/>
    <mergeCell ref="AB2:AE3"/>
    <mergeCell ref="AB5:AF5"/>
    <mergeCell ref="T7:U7"/>
    <mergeCell ref="D21:F21"/>
    <mergeCell ref="G21:H21"/>
    <mergeCell ref="K21:M21"/>
    <mergeCell ref="AC14:AD14"/>
    <mergeCell ref="N21:O21"/>
    <mergeCell ref="R7:S7"/>
    <mergeCell ref="D2:H2"/>
    <mergeCell ref="K2:O2"/>
    <mergeCell ref="R4:U5"/>
    <mergeCell ref="R6:S6"/>
    <mergeCell ref="K30:M30"/>
    <mergeCell ref="N30:O30"/>
    <mergeCell ref="R10:U11"/>
    <mergeCell ref="R8:S8"/>
    <mergeCell ref="R9:S9"/>
    <mergeCell ref="T9:U9"/>
    <mergeCell ref="T8:U8"/>
    <mergeCell ref="R15:S15"/>
    <mergeCell ref="R16:S16"/>
  </mergeCells>
  <conditionalFormatting sqref="G24:H24">
    <cfRule type="cellIs" dxfId="43" priority="20" operator="lessThan">
      <formula>0</formula>
    </cfRule>
  </conditionalFormatting>
  <conditionalFormatting sqref="N24:O24">
    <cfRule type="cellIs" dxfId="42" priority="21" operator="lessThan">
      <formula>0</formula>
    </cfRule>
  </conditionalFormatting>
  <conditionalFormatting sqref="G21:H21">
    <cfRule type="cellIs" dxfId="41" priority="19" operator="greaterThan">
      <formula>AD6</formula>
    </cfRule>
  </conditionalFormatting>
  <conditionalFormatting sqref="N21:O21">
    <cfRule type="cellIs" dxfId="40" priority="18" operator="greaterThan">
      <formula>$AD$6</formula>
    </cfRule>
  </conditionalFormatting>
  <conditionalFormatting sqref="T6">
    <cfRule type="cellIs" dxfId="39" priority="17" operator="greaterThan">
      <formula>$T$7</formula>
    </cfRule>
  </conditionalFormatting>
  <conditionalFormatting sqref="R10">
    <cfRule type="containsText" dxfId="38" priority="16" operator="containsText" text="¡FELICIDADES CARLOS!">
      <formula>NOT(ISERROR(SEARCH("¡FELICIDADES CARLOS!",R10)))</formula>
    </cfRule>
  </conditionalFormatting>
  <conditionalFormatting sqref="R4">
    <cfRule type="containsText" dxfId="37" priority="15" operator="containsText" text="¡FELICIDADES JUAN!">
      <formula>NOT(ISERROR(SEARCH("¡FELICIDADES JUAN!",R4)))</formula>
    </cfRule>
  </conditionalFormatting>
  <conditionalFormatting sqref="T8">
    <cfRule type="cellIs" dxfId="36" priority="14" operator="greaterThan">
      <formula>0.95</formula>
    </cfRule>
  </conditionalFormatting>
  <conditionalFormatting sqref="N22:O22">
    <cfRule type="cellIs" dxfId="35" priority="13" operator="greaterThan">
      <formula>0.95</formula>
    </cfRule>
  </conditionalFormatting>
  <conditionalFormatting sqref="G22:H22">
    <cfRule type="cellIs" dxfId="34" priority="12" operator="greaterThan">
      <formula>0.95</formula>
    </cfRule>
  </conditionalFormatting>
  <conditionalFormatting sqref="T9">
    <cfRule type="cellIs" dxfId="33" priority="11" operator="lessThan">
      <formula>0</formula>
    </cfRule>
  </conditionalFormatting>
  <conditionalFormatting sqref="N23:O23">
    <cfRule type="cellIs" dxfId="32" priority="10" operator="greaterThan">
      <formula>0</formula>
    </cfRule>
  </conditionalFormatting>
  <conditionalFormatting sqref="AA24:AB24">
    <cfRule type="cellIs" dxfId="31" priority="9" operator="lessThan">
      <formula>0</formula>
    </cfRule>
  </conditionalFormatting>
  <conditionalFormatting sqref="N29">
    <cfRule type="cellIs" dxfId="30" priority="8" operator="greaterThan">
      <formula>44000</formula>
    </cfRule>
  </conditionalFormatting>
  <conditionalFormatting sqref="T7">
    <cfRule type="cellIs" dxfId="29" priority="7" operator="lessThan">
      <formula>$T$6</formula>
    </cfRule>
  </conditionalFormatting>
  <conditionalFormatting sqref="E4:E18 O4:O19 H4:H19 L4:L18">
    <cfRule type="cellIs" dxfId="28" priority="2" operator="equal">
      <formula>-0.01</formula>
    </cfRule>
    <cfRule type="cellIs" dxfId="27" priority="6" operator="equal">
      <formula>0.01</formula>
    </cfRule>
  </conditionalFormatting>
  <conditionalFormatting sqref="G23:H23">
    <cfRule type="cellIs" dxfId="26" priority="5" operator="greaterThan">
      <formula>0</formula>
    </cfRule>
  </conditionalFormatting>
  <conditionalFormatting sqref="N29:O29">
    <cfRule type="cellIs" dxfId="25" priority="4" operator="greaterThan">
      <formula>$AD$10</formula>
    </cfRule>
  </conditionalFormatting>
  <conditionalFormatting sqref="N30:O30">
    <cfRule type="cellIs" dxfId="24" priority="3" operator="greaterThan">
      <formula>0</formula>
    </cfRule>
  </conditionalFormatting>
  <conditionalFormatting sqref="N29">
    <cfRule type="cellIs" dxfId="23" priority="22" operator="greaterThan">
      <formula>$T$6&gt;88000</formula>
    </cfRule>
  </conditionalFormatting>
  <conditionalFormatting sqref="R4:U5">
    <cfRule type="containsText" dxfId="22" priority="1" operator="containsText" text="¡FELICIDADES JORGE!">
      <formula>NOT(ISERROR(SEARCH("¡FELICIDADES JORGE!",R4)))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82348-8CE8-47A2-BB69-E26232D0D143}">
  <dimension ref="B1:AK187"/>
  <sheetViews>
    <sheetView zoomScaleNormal="100" workbookViewId="0">
      <selection activeCell="P122" sqref="P122"/>
    </sheetView>
  </sheetViews>
  <sheetFormatPr baseColWidth="10" defaultRowHeight="15" x14ac:dyDescent="0.25"/>
  <cols>
    <col min="1" max="1" width="3.140625" customWidth="1"/>
    <col min="2" max="2" width="9.7109375" customWidth="1"/>
    <col min="3" max="3" width="6" customWidth="1"/>
    <col min="4" max="5" width="19" customWidth="1"/>
    <col min="6" max="6" width="21.42578125" customWidth="1"/>
    <col min="7" max="9" width="5.85546875" customWidth="1"/>
    <col min="10" max="10" width="10.140625" customWidth="1"/>
    <col min="11" max="11" width="4.42578125" customWidth="1"/>
    <col min="12" max="12" width="4.28515625" customWidth="1"/>
    <col min="13" max="13" width="6.7109375" customWidth="1"/>
    <col min="14" max="16" width="19" customWidth="1"/>
    <col min="17" max="17" width="6" customWidth="1"/>
  </cols>
  <sheetData>
    <row r="1" spans="5:10" ht="6" customHeight="1" x14ac:dyDescent="0.25"/>
    <row r="2" spans="5:10" x14ac:dyDescent="0.25">
      <c r="E2" t="s">
        <v>6</v>
      </c>
      <c r="I2" t="str">
        <f>B2&amp;E2&amp;2019</f>
        <v xml:space="preserve">   2019</v>
      </c>
      <c r="J2" t="s">
        <v>6</v>
      </c>
    </row>
    <row r="57" spans="2:18" ht="38.25" customHeight="1" x14ac:dyDescent="0.25"/>
    <row r="58" spans="2:18" ht="12.75" customHeight="1" x14ac:dyDescent="0.25">
      <c r="B58" s="84"/>
      <c r="D58" s="34" t="str">
        <f>'Concentrado agosto'!D2</f>
        <v>Jorge Carrasco</v>
      </c>
      <c r="E58" s="72" t="str">
        <f>'Concentrado agosto'!K2</f>
        <v>Carlos Ponce</v>
      </c>
      <c r="F58" s="84"/>
      <c r="G58" s="75"/>
      <c r="H58" s="16"/>
      <c r="I58" s="16"/>
      <c r="J58" s="16"/>
      <c r="K58" s="16"/>
      <c r="L58" s="16"/>
      <c r="M58" s="16"/>
    </row>
    <row r="59" spans="2:18" x14ac:dyDescent="0.25">
      <c r="E59" s="77"/>
    </row>
    <row r="60" spans="2:18" x14ac:dyDescent="0.25">
      <c r="C60" t="s">
        <v>13</v>
      </c>
      <c r="D60" s="11" t="s">
        <v>7</v>
      </c>
      <c r="E60" s="60" t="s">
        <v>25</v>
      </c>
      <c r="F60" t="s">
        <v>10</v>
      </c>
      <c r="G60" t="s">
        <v>11</v>
      </c>
      <c r="H60" s="8" t="s">
        <v>12</v>
      </c>
      <c r="I60" t="s">
        <v>23</v>
      </c>
      <c r="J60" s="8"/>
      <c r="P60" s="8"/>
      <c r="Q60" s="8"/>
      <c r="R60" s="8"/>
    </row>
    <row r="61" spans="2:18" hidden="1" x14ac:dyDescent="0.25">
      <c r="B61" s="78" t="e">
        <f>1 &amp;#REF!&amp;#REF!&amp;#REF!</f>
        <v>#REF!</v>
      </c>
      <c r="D61" s="11">
        <f>'Concentrado agosto'!E4</f>
        <v>386.2</v>
      </c>
      <c r="E61" s="11">
        <f>'Concentrado agosto'!L4</f>
        <v>1175.3599999999999</v>
      </c>
      <c r="F61" s="43">
        <f>SUM(Tabla15[[#This Row],[Juan]]+Tabla15[[#This Row],[Columna1]])</f>
        <v>1561.56</v>
      </c>
      <c r="H61" s="8"/>
      <c r="J61" s="8"/>
      <c r="P61" s="8"/>
      <c r="Q61" s="8"/>
      <c r="R61" s="8"/>
    </row>
    <row r="62" spans="2:18" x14ac:dyDescent="0.25">
      <c r="B62" s="8"/>
      <c r="C62">
        <v>1</v>
      </c>
      <c r="D62" s="11">
        <f>D61</f>
        <v>386.2</v>
      </c>
      <c r="E62" s="11">
        <f>E61</f>
        <v>1175.3599999999999</v>
      </c>
      <c r="F62" s="43">
        <f>SUM(Tabla15[[#This Row],[Juan]]+Tabla15[[#This Row],[Columna1]])</f>
        <v>1561.56</v>
      </c>
      <c r="G62" s="43">
        <f>'Concentrado agosto'!AD6</f>
        <v>22500</v>
      </c>
      <c r="H62" s="38">
        <f>'Concentrado agosto'!T7</f>
        <v>45000</v>
      </c>
      <c r="I62" s="41">
        <f>'Concentrado agosto'!T7*1.05</f>
        <v>47250</v>
      </c>
      <c r="J62" s="8" t="s">
        <v>5</v>
      </c>
      <c r="P62" s="81"/>
      <c r="Q62" s="81"/>
      <c r="R62" s="81"/>
    </row>
    <row r="63" spans="2:18" hidden="1" x14ac:dyDescent="0.25">
      <c r="B63" s="78" t="e">
        <f>2&amp;#REF!&amp;#REF!&amp;#REF!</f>
        <v>#REF!</v>
      </c>
      <c r="D63" s="11">
        <f>'Concentrado agosto'!E5</f>
        <v>2234.0300000000002</v>
      </c>
      <c r="E63" s="11">
        <f>'Concentrado agosto'!L5</f>
        <v>3361.2</v>
      </c>
      <c r="F63" s="43">
        <f>SUM(Tabla15[[#This Row],[Juan]]+Tabla15[[#This Row],[Columna1]])</f>
        <v>5595.23</v>
      </c>
      <c r="H63" s="8"/>
      <c r="J63" s="8"/>
      <c r="P63" s="81"/>
      <c r="Q63" s="81"/>
      <c r="R63" s="81"/>
    </row>
    <row r="64" spans="2:18" x14ac:dyDescent="0.25">
      <c r="B64" s="8"/>
      <c r="C64">
        <v>2</v>
      </c>
      <c r="D64" s="11">
        <f>D62+D63</f>
        <v>2620.23</v>
      </c>
      <c r="E64" s="11">
        <f>E62+E63</f>
        <v>4536.5599999999995</v>
      </c>
      <c r="F64" s="43">
        <f>SUM(Tabla15[[#This Row],[Juan]]+Tabla15[[#This Row],[Columna1]])</f>
        <v>7156.7899999999991</v>
      </c>
      <c r="G64" s="43">
        <f>G62</f>
        <v>22500</v>
      </c>
      <c r="H64" s="38">
        <f>H62</f>
        <v>45000</v>
      </c>
      <c r="I64" s="41">
        <f>I62</f>
        <v>47250</v>
      </c>
      <c r="J64" s="8"/>
      <c r="P64" s="83"/>
      <c r="Q64" s="81"/>
      <c r="R64" s="81"/>
    </row>
    <row r="65" spans="2:21" hidden="1" x14ac:dyDescent="0.25">
      <c r="B65" s="78" t="e">
        <f>3&amp;#REF!&amp;#REF!&amp;#REF!</f>
        <v>#REF!</v>
      </c>
      <c r="D65" s="11">
        <f>'Concentrado agosto'!E6</f>
        <v>0</v>
      </c>
      <c r="E65" s="11">
        <f>'Concentrado agosto'!L6</f>
        <v>2498.44</v>
      </c>
      <c r="F65" s="43">
        <f>SUM(Tabla15[[#This Row],[Juan]]+Tabla15[[#This Row],[Columna1]])</f>
        <v>2498.44</v>
      </c>
      <c r="H65" s="8"/>
      <c r="J65" s="8"/>
      <c r="P65" s="80"/>
      <c r="Q65" s="80"/>
      <c r="R65" s="80"/>
    </row>
    <row r="66" spans="2:21" x14ac:dyDescent="0.25">
      <c r="B66" s="8"/>
      <c r="C66">
        <v>3</v>
      </c>
      <c r="D66" s="11">
        <f>D64+D65</f>
        <v>2620.23</v>
      </c>
      <c r="E66" s="11">
        <f>E64+E65</f>
        <v>7035</v>
      </c>
      <c r="F66" s="43">
        <f>SUM(Tabla15[[#This Row],[Juan]]+Tabla15[[#This Row],[Columna1]])</f>
        <v>9655.23</v>
      </c>
      <c r="G66" s="43">
        <f>G64</f>
        <v>22500</v>
      </c>
      <c r="H66" s="38">
        <f>H64</f>
        <v>45000</v>
      </c>
      <c r="I66" s="41">
        <f>I64</f>
        <v>47250</v>
      </c>
      <c r="P66" s="82"/>
      <c r="Q66" s="27"/>
      <c r="R66" s="27"/>
    </row>
    <row r="67" spans="2:21" hidden="1" x14ac:dyDescent="0.25">
      <c r="B67" s="78"/>
      <c r="D67" s="11">
        <f>'Concentrado agosto'!E7</f>
        <v>300</v>
      </c>
      <c r="E67" s="11">
        <f>'Concentrado agosto'!L7</f>
        <v>6480.65</v>
      </c>
      <c r="F67" s="43">
        <f>SUM(Tabla15[[#This Row],[Juan]]+Tabla15[[#This Row],[Columna1]])</f>
        <v>6780.65</v>
      </c>
      <c r="H67" s="8"/>
      <c r="J67" s="8"/>
      <c r="P67" s="79"/>
      <c r="Q67" s="28"/>
      <c r="R67" s="28"/>
    </row>
    <row r="68" spans="2:21" x14ac:dyDescent="0.25">
      <c r="B68" s="8"/>
      <c r="C68">
        <v>4</v>
      </c>
      <c r="D68" s="11">
        <f>D66+D67</f>
        <v>2920.23</v>
      </c>
      <c r="E68" s="11">
        <f>E66+E67</f>
        <v>13515.65</v>
      </c>
      <c r="F68" s="43">
        <f>SUM(Tabla15[[#This Row],[Juan]]+Tabla15[[#This Row],[Columna1]])</f>
        <v>16435.88</v>
      </c>
      <c r="G68" s="43">
        <f>G66</f>
        <v>22500</v>
      </c>
      <c r="H68" s="38">
        <f>H66</f>
        <v>45000</v>
      </c>
      <c r="I68" s="41">
        <f>I66</f>
        <v>47250</v>
      </c>
      <c r="J68" s="8"/>
      <c r="P68" s="16"/>
      <c r="Q68" s="29"/>
      <c r="R68" s="29"/>
    </row>
    <row r="69" spans="2:21" hidden="1" x14ac:dyDescent="0.25">
      <c r="B69" s="78"/>
      <c r="D69" s="11">
        <f>'Concentrado agosto'!E8</f>
        <v>0</v>
      </c>
      <c r="E69" s="11">
        <f>'Concentrado agosto'!L8</f>
        <v>0.01</v>
      </c>
      <c r="F69" s="43">
        <f>SUM(Tabla15[[#This Row],[Juan]]+Tabla15[[#This Row],[Columna1]])</f>
        <v>0.01</v>
      </c>
      <c r="H69" s="8"/>
      <c r="J69" s="8"/>
      <c r="P69" s="79"/>
      <c r="Q69" s="30"/>
      <c r="R69" s="30"/>
    </row>
    <row r="70" spans="2:21" x14ac:dyDescent="0.25">
      <c r="B70" s="8"/>
      <c r="C70">
        <v>5</v>
      </c>
      <c r="D70" s="11">
        <f>D68+D69</f>
        <v>2920.23</v>
      </c>
      <c r="E70" s="11">
        <f>E68+E69</f>
        <v>13515.66</v>
      </c>
      <c r="F70" s="43">
        <f>SUM(Tabla15[[#This Row],[Juan]]+Tabla15[[#This Row],[Columna1]])</f>
        <v>16435.89</v>
      </c>
      <c r="G70" s="43">
        <f>G68</f>
        <v>22500</v>
      </c>
      <c r="H70" s="38">
        <f>H68</f>
        <v>45000</v>
      </c>
      <c r="I70" s="41">
        <f>I68</f>
        <v>47250</v>
      </c>
      <c r="J70" s="8"/>
      <c r="P70" s="16"/>
      <c r="Q70" s="27"/>
      <c r="R70" s="27"/>
      <c r="T70" s="5"/>
      <c r="U70" s="5"/>
    </row>
    <row r="71" spans="2:21" hidden="1" x14ac:dyDescent="0.25">
      <c r="B71" s="78"/>
      <c r="D71" s="11">
        <f>'Concentrado agosto'!E9</f>
        <v>0.01</v>
      </c>
      <c r="E71" s="11">
        <f>'Concentrado agosto'!L9</f>
        <v>0</v>
      </c>
      <c r="F71" s="43">
        <f>SUM(Tabla15[[#This Row],[Juan]]+Tabla15[[#This Row],[Columna1]])</f>
        <v>0.01</v>
      </c>
      <c r="H71" s="8"/>
      <c r="I71" s="11"/>
      <c r="J71" s="8"/>
      <c r="P71" s="79"/>
      <c r="Q71" s="31"/>
      <c r="R71" s="31"/>
      <c r="T71" s="5"/>
      <c r="U71" s="5"/>
    </row>
    <row r="72" spans="2:21" x14ac:dyDescent="0.25">
      <c r="B72" s="8"/>
      <c r="C72">
        <v>6</v>
      </c>
      <c r="D72" s="11">
        <f>D70+D71</f>
        <v>2920.2400000000002</v>
      </c>
      <c r="E72" s="11">
        <f>E70+E71</f>
        <v>13515.66</v>
      </c>
      <c r="F72" s="43">
        <f>SUM(Tabla15[[#This Row],[Juan]]+Tabla15[[#This Row],[Columna1]])</f>
        <v>16435.900000000001</v>
      </c>
      <c r="G72" s="43">
        <f>G70</f>
        <v>22500</v>
      </c>
      <c r="H72" s="38">
        <f>H70</f>
        <v>45000</v>
      </c>
      <c r="I72" s="41">
        <f>I70</f>
        <v>47250</v>
      </c>
      <c r="J72" s="8"/>
      <c r="P72" s="81"/>
      <c r="Q72" s="81"/>
      <c r="R72" s="81"/>
    </row>
    <row r="73" spans="2:21" hidden="1" x14ac:dyDescent="0.25">
      <c r="B73" s="78"/>
      <c r="D73" s="11">
        <f>'Concentrado agosto'!E10</f>
        <v>0</v>
      </c>
      <c r="E73" s="11">
        <f>'Concentrado agosto'!L10</f>
        <v>0</v>
      </c>
      <c r="F73" s="43">
        <f>SUM(Tabla15[[#This Row],[Juan]]+Tabla15[[#This Row],[Columna1]])</f>
        <v>0</v>
      </c>
      <c r="H73" s="8"/>
      <c r="I73" s="11"/>
      <c r="P73" s="81"/>
      <c r="Q73" s="81"/>
      <c r="R73" s="81"/>
    </row>
    <row r="74" spans="2:21" x14ac:dyDescent="0.25">
      <c r="B74" s="8"/>
      <c r="C74">
        <v>7</v>
      </c>
      <c r="D74" s="11">
        <f>D72+D73</f>
        <v>2920.2400000000002</v>
      </c>
      <c r="E74" s="11">
        <f>E72+E73</f>
        <v>13515.66</v>
      </c>
      <c r="F74" s="43">
        <f>SUM(Tabla15[[#This Row],[Juan]]+Tabla15[[#This Row],[Columna1]])</f>
        <v>16435.900000000001</v>
      </c>
      <c r="G74" s="43">
        <f>G72</f>
        <v>22500</v>
      </c>
      <c r="H74" s="38">
        <f>H72</f>
        <v>45000</v>
      </c>
      <c r="I74" s="41">
        <f>I72</f>
        <v>47250</v>
      </c>
      <c r="J74" s="8"/>
      <c r="P74" s="81"/>
      <c r="Q74" s="81"/>
      <c r="R74" s="81"/>
      <c r="T74" s="5"/>
      <c r="U74" s="5"/>
    </row>
    <row r="75" spans="2:21" hidden="1" x14ac:dyDescent="0.25">
      <c r="B75" s="78"/>
      <c r="D75" s="11">
        <f>'Concentrado agosto'!E11</f>
        <v>0</v>
      </c>
      <c r="E75" s="11">
        <f>'Concentrado agosto'!L11</f>
        <v>0</v>
      </c>
      <c r="F75" s="43">
        <f>SUM(Tabla15[[#This Row],[Juan]]+Tabla15[[#This Row],[Columna1]])</f>
        <v>0</v>
      </c>
      <c r="H75" s="8"/>
      <c r="I75" s="11"/>
      <c r="J75" s="8"/>
      <c r="P75" s="80"/>
      <c r="Q75" s="80"/>
      <c r="R75" s="80"/>
      <c r="T75" s="5"/>
      <c r="U75" s="5"/>
    </row>
    <row r="76" spans="2:21" x14ac:dyDescent="0.25">
      <c r="B76" s="8"/>
      <c r="C76">
        <v>8</v>
      </c>
      <c r="D76" s="11">
        <f>D74+D75</f>
        <v>2920.2400000000002</v>
      </c>
      <c r="E76" s="11">
        <f>E74+E75</f>
        <v>13515.66</v>
      </c>
      <c r="F76" s="43">
        <f>SUM(Tabla15[[#This Row],[Juan]]+Tabla15[[#This Row],[Columna1]])</f>
        <v>16435.900000000001</v>
      </c>
      <c r="G76" s="43">
        <f>G74</f>
        <v>22500</v>
      </c>
      <c r="H76" s="38">
        <f>H74</f>
        <v>45000</v>
      </c>
      <c r="I76" s="41">
        <f>I74</f>
        <v>47250</v>
      </c>
      <c r="J76" s="8"/>
      <c r="P76" s="8"/>
      <c r="Q76" s="8"/>
      <c r="R76" s="8"/>
    </row>
    <row r="77" spans="2:21" hidden="1" x14ac:dyDescent="0.25">
      <c r="B77" s="78"/>
      <c r="D77" s="11">
        <f>'Concentrado agosto'!E12</f>
        <v>0</v>
      </c>
      <c r="E77" s="11">
        <f>'Concentrado agosto'!L12</f>
        <v>0</v>
      </c>
      <c r="F77" s="43">
        <f>SUM(Tabla15[[#This Row],[Juan]]+Tabla15[[#This Row],[Columna1]])</f>
        <v>0</v>
      </c>
      <c r="H77" s="8"/>
      <c r="I77" s="11"/>
      <c r="J77" s="8"/>
      <c r="P77" s="8"/>
      <c r="Q77" s="8"/>
      <c r="R77" s="8"/>
    </row>
    <row r="78" spans="2:21" x14ac:dyDescent="0.25">
      <c r="B78" s="8"/>
      <c r="C78">
        <v>9</v>
      </c>
      <c r="D78" s="11">
        <f>D76+D77</f>
        <v>2920.2400000000002</v>
      </c>
      <c r="E78" s="11">
        <f>E76+E77</f>
        <v>13515.66</v>
      </c>
      <c r="F78" s="43">
        <f>SUM(Tabla15[[#This Row],[Juan]]+Tabla15[[#This Row],[Columna1]])</f>
        <v>16435.900000000001</v>
      </c>
      <c r="G78" s="43">
        <f>G76</f>
        <v>22500</v>
      </c>
      <c r="H78" s="38">
        <f>H76</f>
        <v>45000</v>
      </c>
      <c r="I78" s="41">
        <f>I76</f>
        <v>47250</v>
      </c>
      <c r="J78" s="8"/>
      <c r="P78" s="8"/>
      <c r="Q78" s="8"/>
      <c r="R78" s="8"/>
    </row>
    <row r="79" spans="2:21" hidden="1" x14ac:dyDescent="0.25">
      <c r="B79" s="78"/>
      <c r="D79" s="11">
        <f>'Concentrado agosto'!E13</f>
        <v>0</v>
      </c>
      <c r="E79" s="11">
        <f>'Concentrado agosto'!L13</f>
        <v>0</v>
      </c>
      <c r="F79" s="43">
        <f>SUM(Tabla15[[#This Row],[Juan]]+Tabla15[[#This Row],[Columna1]])</f>
        <v>0</v>
      </c>
      <c r="H79" s="8"/>
      <c r="I79" s="11"/>
      <c r="J79" s="8"/>
      <c r="P79" s="8"/>
      <c r="Q79" s="8"/>
      <c r="R79" s="8"/>
    </row>
    <row r="80" spans="2:21" x14ac:dyDescent="0.25">
      <c r="B80" s="8"/>
      <c r="C80">
        <v>10</v>
      </c>
      <c r="D80" s="11">
        <f>D78+D79</f>
        <v>2920.2400000000002</v>
      </c>
      <c r="E80" s="11">
        <f>E78+E79</f>
        <v>13515.66</v>
      </c>
      <c r="F80" s="43">
        <f>SUM(Tabla15[[#This Row],[Juan]]+Tabla15[[#This Row],[Columna1]])</f>
        <v>16435.900000000001</v>
      </c>
      <c r="G80" s="43">
        <f>G78</f>
        <v>22500</v>
      </c>
      <c r="H80" s="38">
        <f>H78</f>
        <v>45000</v>
      </c>
      <c r="I80" s="41">
        <f>I78</f>
        <v>47250</v>
      </c>
      <c r="P80" s="8"/>
      <c r="Q80" s="8"/>
      <c r="R80" s="8"/>
    </row>
    <row r="81" spans="2:37" hidden="1" x14ac:dyDescent="0.25">
      <c r="B81" s="78"/>
      <c r="D81" s="11">
        <f>'Concentrado agosto'!E14</f>
        <v>1550.86</v>
      </c>
      <c r="E81" s="11">
        <f>'Concentrado agosto'!L14</f>
        <v>1981.89</v>
      </c>
      <c r="F81" s="43">
        <f>SUM(Tabla15[[#This Row],[Juan]]+Tabla15[[#This Row],[Columna1]])</f>
        <v>3532.75</v>
      </c>
      <c r="H81" s="8"/>
      <c r="I81" s="11"/>
      <c r="J81" s="8"/>
      <c r="P81" s="8"/>
      <c r="Q81" s="8"/>
      <c r="R81" s="8"/>
    </row>
    <row r="82" spans="2:37" x14ac:dyDescent="0.25">
      <c r="B82" s="8"/>
      <c r="C82">
        <v>11</v>
      </c>
      <c r="D82" s="11">
        <f>D80+D81</f>
        <v>4471.1000000000004</v>
      </c>
      <c r="E82" s="11">
        <f>E80+E81</f>
        <v>15497.55</v>
      </c>
      <c r="F82" s="43">
        <f>SUM(Tabla15[[#This Row],[Juan]]+Tabla15[[#This Row],[Columna1]])</f>
        <v>19968.650000000001</v>
      </c>
      <c r="G82" s="43">
        <f>G80</f>
        <v>22500</v>
      </c>
      <c r="H82" s="38">
        <f>H80</f>
        <v>45000</v>
      </c>
      <c r="I82" s="41">
        <f>I80</f>
        <v>47250</v>
      </c>
      <c r="J82" s="8"/>
      <c r="P82" s="8"/>
      <c r="Q82" s="8"/>
      <c r="R82" s="8"/>
    </row>
    <row r="83" spans="2:37" hidden="1" x14ac:dyDescent="0.25">
      <c r="B83" s="78"/>
      <c r="D83" s="11">
        <f>'Concentrado agosto'!E15</f>
        <v>0</v>
      </c>
      <c r="E83" s="11">
        <f>'Concentrado agosto'!L15</f>
        <v>0.01</v>
      </c>
      <c r="F83" s="43">
        <f>SUM(Tabla15[[#This Row],[Juan]]+Tabla15[[#This Row],[Columna1]])</f>
        <v>0.01</v>
      </c>
      <c r="H83" s="8"/>
      <c r="I83" s="11"/>
      <c r="J83" s="8"/>
      <c r="P83" s="8"/>
      <c r="Q83" s="8"/>
      <c r="R83" s="8"/>
    </row>
    <row r="84" spans="2:37" x14ac:dyDescent="0.25">
      <c r="B84" s="8"/>
      <c r="C84">
        <v>12</v>
      </c>
      <c r="D84" s="11">
        <f>D82+D83</f>
        <v>4471.1000000000004</v>
      </c>
      <c r="E84" s="11">
        <f>E82+E83</f>
        <v>15497.56</v>
      </c>
      <c r="F84" s="43">
        <f>SUM(Tabla15[[#This Row],[Juan]]+Tabla15[[#This Row],[Columna1]])</f>
        <v>19968.66</v>
      </c>
      <c r="G84" s="43">
        <f>G82</f>
        <v>22500</v>
      </c>
      <c r="H84" s="38">
        <f>H82</f>
        <v>45000</v>
      </c>
      <c r="I84" s="41">
        <f>I82</f>
        <v>47250</v>
      </c>
      <c r="J84" s="8"/>
      <c r="P84" s="8"/>
      <c r="Q84" s="8"/>
      <c r="R84" s="8"/>
    </row>
    <row r="85" spans="2:37" hidden="1" x14ac:dyDescent="0.25">
      <c r="B85" s="78"/>
      <c r="D85" s="11">
        <f>'Concentrado agosto'!E16</f>
        <v>0.01</v>
      </c>
      <c r="E85" s="11">
        <f>'Concentrado agosto'!L16</f>
        <v>0</v>
      </c>
      <c r="F85" s="43">
        <f>SUM(Tabla15[[#This Row],[Juan]]+Tabla15[[#This Row],[Columna1]])</f>
        <v>0.01</v>
      </c>
      <c r="H85" s="8"/>
      <c r="I85" s="11"/>
      <c r="J85" s="8"/>
      <c r="P85" s="8"/>
      <c r="Q85" s="8"/>
      <c r="R85" s="8"/>
    </row>
    <row r="86" spans="2:37" x14ac:dyDescent="0.25">
      <c r="B86" s="8"/>
      <c r="C86">
        <v>13</v>
      </c>
      <c r="D86" s="11">
        <f>D84+D85</f>
        <v>4471.1100000000006</v>
      </c>
      <c r="E86" s="11">
        <f>E84+E85</f>
        <v>15497.56</v>
      </c>
      <c r="F86" s="43">
        <f>SUM(Tabla15[[#This Row],[Juan]]+Tabla15[[#This Row],[Columna1]])</f>
        <v>19968.669999999998</v>
      </c>
      <c r="G86" s="43">
        <f>G84</f>
        <v>22500</v>
      </c>
      <c r="H86" s="38">
        <f>H84</f>
        <v>45000</v>
      </c>
      <c r="I86" s="41">
        <f>I84</f>
        <v>47250</v>
      </c>
      <c r="J86" s="8"/>
      <c r="P86" s="8"/>
      <c r="Q86" s="8"/>
      <c r="R86" s="8"/>
    </row>
    <row r="87" spans="2:37" hidden="1" x14ac:dyDescent="0.25">
      <c r="B87" s="78"/>
      <c r="D87" s="11">
        <f>'Concentrado agosto'!E17</f>
        <v>0</v>
      </c>
      <c r="E87" s="11">
        <f>'Concentrado agosto'!L17</f>
        <v>4080.92</v>
      </c>
      <c r="F87" s="43">
        <f>SUM(Tabla15[[#This Row],[Juan]]+Tabla15[[#This Row],[Columna1]])</f>
        <v>4080.92</v>
      </c>
      <c r="H87" s="8"/>
      <c r="I87" s="11"/>
      <c r="P87" s="8"/>
      <c r="Q87" s="8"/>
      <c r="R87" s="8"/>
    </row>
    <row r="88" spans="2:37" x14ac:dyDescent="0.25">
      <c r="B88" s="8"/>
      <c r="C88">
        <v>14</v>
      </c>
      <c r="D88" s="11">
        <f>D86+D87</f>
        <v>4471.1100000000006</v>
      </c>
      <c r="E88" s="11">
        <f>E86+E87</f>
        <v>19578.48</v>
      </c>
      <c r="F88" s="43">
        <f>SUM(Tabla15[[#This Row],[Juan]]+Tabla15[[#This Row],[Columna1]])</f>
        <v>24049.59</v>
      </c>
      <c r="G88" s="43">
        <f>G86</f>
        <v>22500</v>
      </c>
      <c r="H88" s="38">
        <f>H86</f>
        <v>45000</v>
      </c>
      <c r="I88" s="41">
        <f>I86</f>
        <v>47250</v>
      </c>
      <c r="J88" s="8"/>
      <c r="P88" s="8"/>
      <c r="Q88" s="8"/>
      <c r="R88" s="8"/>
    </row>
    <row r="89" spans="2:37" hidden="1" x14ac:dyDescent="0.25">
      <c r="B89" s="78"/>
      <c r="D89" s="11">
        <f>'Concentrado agosto'!E18</f>
        <v>343.1</v>
      </c>
      <c r="E89" s="11">
        <f>'Concentrado agosto'!L18</f>
        <v>5705.79</v>
      </c>
      <c r="F89" s="43">
        <f>SUM(Tabla15[[#This Row],[Juan]]+Tabla15[[#This Row],[Columna1]])</f>
        <v>6048.89</v>
      </c>
      <c r="H89" s="8"/>
      <c r="I89" s="11"/>
      <c r="J89" s="8"/>
      <c r="P89" s="8"/>
      <c r="Q89" s="8"/>
      <c r="R89" s="8"/>
    </row>
    <row r="90" spans="2:37" x14ac:dyDescent="0.25">
      <c r="B90" s="8"/>
      <c r="C90">
        <v>15</v>
      </c>
      <c r="D90" s="11">
        <f>D88+D89</f>
        <v>4814.2100000000009</v>
      </c>
      <c r="E90" s="11">
        <f>E88+E89</f>
        <v>25284.27</v>
      </c>
      <c r="F90" s="43">
        <f>SUM(Tabla15[[#This Row],[Juan]]+Tabla15[[#This Row],[Columna1]])</f>
        <v>30098.480000000003</v>
      </c>
      <c r="G90" s="43">
        <f>G88</f>
        <v>22500</v>
      </c>
      <c r="H90" s="38">
        <f>H88</f>
        <v>45000</v>
      </c>
      <c r="I90" s="41">
        <f>I88</f>
        <v>47250</v>
      </c>
      <c r="J90" s="8"/>
      <c r="P90" s="8"/>
      <c r="Q90" s="8"/>
      <c r="R90" s="8"/>
    </row>
    <row r="91" spans="2:37" hidden="1" x14ac:dyDescent="0.25">
      <c r="B91" s="78"/>
      <c r="D91" s="11">
        <f>'Concentrado agosto'!H4</f>
        <v>3489.28</v>
      </c>
      <c r="E91" s="11">
        <f>'Concentrado agosto'!O4</f>
        <v>2519.81</v>
      </c>
      <c r="F91" s="43">
        <f>SUM(Tabla15[[#This Row],[Juan]]+Tabla15[[#This Row],[Columna1]])</f>
        <v>6009.09</v>
      </c>
      <c r="H91" s="8"/>
      <c r="I91" s="11"/>
      <c r="J91" s="8"/>
      <c r="P91" s="8"/>
      <c r="Q91" s="8"/>
      <c r="R91" s="8"/>
    </row>
    <row r="92" spans="2:37" x14ac:dyDescent="0.25">
      <c r="B92" s="8"/>
      <c r="C92">
        <v>16</v>
      </c>
      <c r="D92" s="11">
        <f>D90+D91</f>
        <v>8303.4900000000016</v>
      </c>
      <c r="E92" s="11">
        <f>E90+E91</f>
        <v>27804.080000000002</v>
      </c>
      <c r="F92" s="43">
        <f>SUM(Tabla15[[#This Row],[Juan]]+Tabla15[[#This Row],[Columna1]])</f>
        <v>36107.570000000007</v>
      </c>
      <c r="G92" s="43">
        <f>G90</f>
        <v>22500</v>
      </c>
      <c r="H92" s="38">
        <f>H90</f>
        <v>45000</v>
      </c>
      <c r="I92" s="41">
        <f>I90</f>
        <v>47250</v>
      </c>
      <c r="J92" s="8"/>
      <c r="P92" s="8"/>
      <c r="Q92" s="8"/>
      <c r="R92" s="8"/>
    </row>
    <row r="93" spans="2:37" hidden="1" x14ac:dyDescent="0.25">
      <c r="B93" s="78"/>
      <c r="D93" s="11">
        <f>'Concentrado agosto'!H5</f>
        <v>2663.77</v>
      </c>
      <c r="E93" s="11">
        <f>'Concentrado agosto'!O5</f>
        <v>2292.7399999999998</v>
      </c>
      <c r="F93" s="43">
        <f>SUM(Tabla15[[#This Row],[Juan]]+Tabla15[[#This Row],[Columna1]])</f>
        <v>4956.51</v>
      </c>
      <c r="H93" s="8"/>
      <c r="I93" s="11"/>
      <c r="J93" s="8"/>
      <c r="P93" s="8"/>
      <c r="Q93" s="8"/>
      <c r="R93" s="8"/>
    </row>
    <row r="94" spans="2:37" x14ac:dyDescent="0.25">
      <c r="B94" s="8"/>
      <c r="C94">
        <v>17</v>
      </c>
      <c r="D94" s="11">
        <f>D92+D93</f>
        <v>10967.260000000002</v>
      </c>
      <c r="E94" s="11">
        <f>E92+E93</f>
        <v>30096.82</v>
      </c>
      <c r="F94" s="43">
        <f>SUM(Tabla15[[#This Row],[Juan]]+Tabla15[[#This Row],[Columna1]])</f>
        <v>41064.080000000002</v>
      </c>
      <c r="G94" s="43">
        <f>G92</f>
        <v>22500</v>
      </c>
      <c r="H94" s="38">
        <f>H92</f>
        <v>45000</v>
      </c>
      <c r="I94" s="41">
        <f>I92</f>
        <v>47250</v>
      </c>
      <c r="J94" s="8"/>
      <c r="P94" s="8"/>
      <c r="Q94" s="8"/>
      <c r="R94" s="8"/>
      <c r="Z94" s="89" t="s">
        <v>1</v>
      </c>
      <c r="AA94" s="89"/>
      <c r="AB94" s="89"/>
      <c r="AC94" s="130">
        <f>SUM(D61:D89,D91:D121)</f>
        <v>360806.53</v>
      </c>
      <c r="AD94" s="130"/>
      <c r="AE94" s="8"/>
      <c r="AF94" s="8"/>
      <c r="AG94" s="89" t="s">
        <v>1</v>
      </c>
      <c r="AH94" s="89"/>
      <c r="AI94" s="89"/>
      <c r="AJ94" s="130">
        <f>SUM(I60:I88,I90:I120)</f>
        <v>1417500</v>
      </c>
      <c r="AK94" s="130"/>
    </row>
    <row r="95" spans="2:37" hidden="1" x14ac:dyDescent="0.25">
      <c r="B95" s="78"/>
      <c r="D95" s="11">
        <f>'Concentrado agosto'!H6</f>
        <v>3931.46</v>
      </c>
      <c r="E95" s="11">
        <f>'Concentrado agosto'!O6</f>
        <v>343.1</v>
      </c>
      <c r="F95" s="43">
        <f>SUM(Tabla15[[#This Row],[Juan]]+Tabla15[[#This Row],[Columna1]])</f>
        <v>4274.5600000000004</v>
      </c>
      <c r="I95" s="11"/>
      <c r="J95" s="8"/>
      <c r="P95" s="8"/>
      <c r="Q95" s="8"/>
      <c r="R95" s="8"/>
      <c r="Z95" s="73"/>
      <c r="AA95" s="73"/>
      <c r="AB95" s="73"/>
      <c r="AC95" s="74"/>
      <c r="AD95" s="74"/>
      <c r="AE95" s="8"/>
      <c r="AF95" s="8"/>
      <c r="AG95" s="73"/>
      <c r="AH95" s="73"/>
      <c r="AI95" s="73"/>
      <c r="AJ95" s="74"/>
      <c r="AK95" s="74"/>
    </row>
    <row r="96" spans="2:37" x14ac:dyDescent="0.25">
      <c r="B96" s="8"/>
      <c r="C96">
        <v>18</v>
      </c>
      <c r="D96" s="11">
        <f>D94+D95</f>
        <v>14898.720000000001</v>
      </c>
      <c r="E96" s="11">
        <f>E94+E95</f>
        <v>30439.919999999998</v>
      </c>
      <c r="F96" s="43">
        <f>SUM(Tabla15[[#This Row],[Juan]]+Tabla15[[#This Row],[Columna1]])</f>
        <v>45338.64</v>
      </c>
      <c r="G96" s="43">
        <f>G94</f>
        <v>22500</v>
      </c>
      <c r="H96" s="38">
        <f>H94</f>
        <v>45000</v>
      </c>
      <c r="I96" s="41">
        <f>I94</f>
        <v>47250</v>
      </c>
      <c r="J96" s="8"/>
      <c r="P96" s="8"/>
      <c r="Q96" s="8"/>
      <c r="R96" s="8"/>
      <c r="Z96" s="89" t="s">
        <v>3</v>
      </c>
      <c r="AA96" s="89"/>
      <c r="AB96" s="89"/>
      <c r="AC96" s="122">
        <f>AC94/44000</f>
        <v>8.2001484090909091</v>
      </c>
      <c r="AD96" s="122"/>
      <c r="AE96" s="8"/>
      <c r="AF96" s="8"/>
      <c r="AG96" s="89" t="s">
        <v>3</v>
      </c>
      <c r="AH96" s="89"/>
      <c r="AI96" s="89"/>
      <c r="AJ96" s="122">
        <f>AJ94/44000</f>
        <v>32.215909090909093</v>
      </c>
      <c r="AK96" s="122"/>
    </row>
    <row r="97" spans="2:37" hidden="1" x14ac:dyDescent="0.25">
      <c r="B97" s="78"/>
      <c r="D97" s="11">
        <f>'Concentrado agosto'!H7</f>
        <v>561.22</v>
      </c>
      <c r="E97" s="11">
        <f>'Concentrado agosto'!O7</f>
        <v>0.01</v>
      </c>
      <c r="F97" s="43">
        <f>SUM(Tabla15[[#This Row],[Juan]]+Tabla15[[#This Row],[Columna1]])</f>
        <v>561.23</v>
      </c>
      <c r="I97" s="11"/>
      <c r="J97" s="8"/>
      <c r="P97" s="8"/>
      <c r="Q97" s="8"/>
      <c r="R97" s="8"/>
      <c r="Z97" s="73"/>
      <c r="AA97" s="73"/>
      <c r="AB97" s="73"/>
      <c r="AC97" s="71"/>
      <c r="AD97" s="71"/>
      <c r="AE97" s="8"/>
      <c r="AF97" s="8"/>
      <c r="AG97" s="73"/>
      <c r="AH97" s="73"/>
      <c r="AI97" s="73"/>
      <c r="AJ97" s="71"/>
      <c r="AK97" s="71"/>
    </row>
    <row r="98" spans="2:37" x14ac:dyDescent="0.25">
      <c r="B98" s="8"/>
      <c r="C98">
        <v>19</v>
      </c>
      <c r="D98" s="11">
        <f>D96+D97</f>
        <v>15459.94</v>
      </c>
      <c r="E98" s="11">
        <f>E96+E97</f>
        <v>30439.929999999997</v>
      </c>
      <c r="F98" s="43">
        <f>SUM(Tabla15[[#This Row],[Juan]]+Tabla15[[#This Row],[Columna1]])</f>
        <v>45899.869999999995</v>
      </c>
      <c r="G98" s="43">
        <f>G96</f>
        <v>22500</v>
      </c>
      <c r="H98" s="38">
        <f>H96</f>
        <v>45000</v>
      </c>
      <c r="I98" s="41">
        <f>I96</f>
        <v>47250</v>
      </c>
      <c r="J98" s="8"/>
      <c r="Z98" s="89" t="s">
        <v>2</v>
      </c>
      <c r="AA98" s="89"/>
      <c r="AB98" s="89"/>
      <c r="AC98" s="129">
        <f>44000-AC94</f>
        <v>-316806.53000000003</v>
      </c>
      <c r="AD98" s="129"/>
      <c r="AE98" s="8"/>
      <c r="AF98" s="8"/>
      <c r="AG98" s="89" t="s">
        <v>2</v>
      </c>
      <c r="AH98" s="89"/>
      <c r="AI98" s="89"/>
      <c r="AJ98" s="129">
        <f>44000-AJ94</f>
        <v>-1373500</v>
      </c>
      <c r="AK98" s="129"/>
    </row>
    <row r="99" spans="2:37" hidden="1" x14ac:dyDescent="0.25">
      <c r="B99" s="78"/>
      <c r="D99" s="11">
        <f>'Concentrado agosto'!H9</f>
        <v>0</v>
      </c>
      <c r="E99" s="11">
        <f>'Concentrado agosto'!O8</f>
        <v>687.06</v>
      </c>
      <c r="F99" s="43">
        <f>SUM(Tabla15[[#This Row],[Juan]]+Tabla15[[#This Row],[Columna1]])</f>
        <v>687.06</v>
      </c>
      <c r="I99" s="11"/>
      <c r="J99" s="8"/>
      <c r="Z99" s="79"/>
      <c r="AA99" s="79"/>
      <c r="AB99" s="79"/>
      <c r="AC99" s="19"/>
      <c r="AD99" s="19"/>
      <c r="AE99" s="8"/>
      <c r="AF99" s="8"/>
      <c r="AG99" s="79"/>
      <c r="AH99" s="79"/>
      <c r="AI99" s="79"/>
      <c r="AJ99" s="19"/>
      <c r="AK99" s="19"/>
    </row>
    <row r="100" spans="2:37" x14ac:dyDescent="0.25">
      <c r="B100" s="8"/>
      <c r="C100">
        <v>20</v>
      </c>
      <c r="D100" s="11">
        <f>D98+D99</f>
        <v>15459.94</v>
      </c>
      <c r="E100" s="11">
        <f>E98+E99</f>
        <v>31126.989999999998</v>
      </c>
      <c r="F100" s="43">
        <f>SUM(Tabla15[[#This Row],[Juan]]+Tabla15[[#This Row],[Columna1]])</f>
        <v>46586.93</v>
      </c>
      <c r="G100" s="43">
        <f>G98</f>
        <v>22500</v>
      </c>
      <c r="H100" s="38">
        <f>H98</f>
        <v>45000</v>
      </c>
      <c r="I100" s="41">
        <f>I98</f>
        <v>47250</v>
      </c>
      <c r="J100" s="8"/>
    </row>
    <row r="101" spans="2:37" hidden="1" x14ac:dyDescent="0.25">
      <c r="B101" s="78"/>
      <c r="D101" s="11">
        <f>'Concentrado agosto'!H9</f>
        <v>0</v>
      </c>
      <c r="E101" s="11">
        <f>'Concentrado agosto'!O9</f>
        <v>947.41</v>
      </c>
      <c r="F101" s="43">
        <f>SUM(Tabla15[[#This Row],[Juan]]+Tabla15[[#This Row],[Columna1]])</f>
        <v>947.41</v>
      </c>
      <c r="I101" s="11"/>
      <c r="J101" s="8"/>
    </row>
    <row r="102" spans="2:37" x14ac:dyDescent="0.25">
      <c r="B102" s="8"/>
      <c r="C102">
        <v>21</v>
      </c>
      <c r="D102" s="11">
        <f>D100+D101</f>
        <v>15459.94</v>
      </c>
      <c r="E102" s="11">
        <f>E100+E101</f>
        <v>32074.399999999998</v>
      </c>
      <c r="F102" s="43">
        <f>SUM(Tabla15[[#This Row],[Juan]]+Tabla15[[#This Row],[Columna1]])</f>
        <v>47534.34</v>
      </c>
      <c r="G102" s="43">
        <f>G100</f>
        <v>22500</v>
      </c>
      <c r="H102" s="38">
        <f>H100</f>
        <v>45000</v>
      </c>
      <c r="I102" s="41">
        <f>I100</f>
        <v>47250</v>
      </c>
      <c r="J102" s="8"/>
    </row>
    <row r="103" spans="2:37" hidden="1" x14ac:dyDescent="0.25">
      <c r="B103" s="78"/>
      <c r="D103" s="11">
        <f>'Concentrado agosto'!H10</f>
        <v>0</v>
      </c>
      <c r="E103" s="11">
        <f>'Concentrado agosto'!O10</f>
        <v>0</v>
      </c>
      <c r="F103" s="43">
        <f>SUM(Tabla15[[#This Row],[Juan]]+Tabla15[[#This Row],[Columna1]])</f>
        <v>0</v>
      </c>
      <c r="I103" s="11"/>
      <c r="J103" s="8"/>
    </row>
    <row r="104" spans="2:37" x14ac:dyDescent="0.25">
      <c r="B104" s="8"/>
      <c r="C104">
        <v>22</v>
      </c>
      <c r="D104" s="11">
        <f>D102+D103</f>
        <v>15459.94</v>
      </c>
      <c r="E104" s="11">
        <f>E102+E103</f>
        <v>32074.399999999998</v>
      </c>
      <c r="F104" s="43">
        <f>SUM(Tabla15[[#This Row],[Juan]]+Tabla15[[#This Row],[Columna1]])</f>
        <v>47534.34</v>
      </c>
      <c r="G104" s="43">
        <f>G102</f>
        <v>22500</v>
      </c>
      <c r="H104" s="38">
        <f>H102</f>
        <v>45000</v>
      </c>
      <c r="I104" s="41">
        <f>I102</f>
        <v>47250</v>
      </c>
      <c r="J104" s="8"/>
    </row>
    <row r="105" spans="2:37" hidden="1" x14ac:dyDescent="0.25">
      <c r="B105" s="78"/>
      <c r="D105" s="11">
        <f>'Concentrado agosto'!H11</f>
        <v>171.21</v>
      </c>
      <c r="E105" s="11">
        <f>'Concentrado agosto'!O11</f>
        <v>1979.31</v>
      </c>
      <c r="F105" s="43">
        <f>SUM(Tabla15[[#This Row],[Juan]]+Tabla15[[#This Row],[Columna1]])</f>
        <v>2150.52</v>
      </c>
      <c r="I105" s="11"/>
      <c r="J105" s="8"/>
    </row>
    <row r="106" spans="2:37" x14ac:dyDescent="0.25">
      <c r="B106" s="8"/>
      <c r="C106">
        <v>23</v>
      </c>
      <c r="D106" s="11">
        <f>D104+D105</f>
        <v>15631.15</v>
      </c>
      <c r="E106" s="11">
        <f>E104+E105</f>
        <v>34053.71</v>
      </c>
      <c r="F106" s="43">
        <f>SUM(Tabla15[[#This Row],[Juan]]+Tabla15[[#This Row],[Columna1]])</f>
        <v>49684.86</v>
      </c>
      <c r="G106" s="43">
        <f>G104</f>
        <v>22500</v>
      </c>
      <c r="H106" s="38">
        <f>H104</f>
        <v>45000</v>
      </c>
      <c r="I106" s="41">
        <f>I104</f>
        <v>47250</v>
      </c>
      <c r="J106" s="8"/>
    </row>
    <row r="107" spans="2:37" hidden="1" x14ac:dyDescent="0.25">
      <c r="B107" s="78"/>
      <c r="D107" s="11">
        <f>'Concentrado agosto'!H12</f>
        <v>7151.67</v>
      </c>
      <c r="E107" s="11">
        <f>'Concentrado agosto'!O12</f>
        <v>344.17</v>
      </c>
      <c r="F107" s="43">
        <f>SUM(Tabla15[[#This Row],[Juan]]+Tabla15[[#This Row],[Columna1]])</f>
        <v>7495.84</v>
      </c>
      <c r="I107" s="11"/>
      <c r="J107" s="8"/>
    </row>
    <row r="108" spans="2:37" x14ac:dyDescent="0.25">
      <c r="B108" s="8"/>
      <c r="C108">
        <v>24</v>
      </c>
      <c r="D108" s="11">
        <f>D106+D107</f>
        <v>22782.82</v>
      </c>
      <c r="E108" s="11">
        <f>E106+E107</f>
        <v>34397.879999999997</v>
      </c>
      <c r="F108" s="43">
        <f>SUM(Tabla15[[#This Row],[Juan]]+Tabla15[[#This Row],[Columna1]])</f>
        <v>57180.7</v>
      </c>
      <c r="G108" s="43">
        <f>G106</f>
        <v>22500</v>
      </c>
      <c r="H108" s="38">
        <f>H106</f>
        <v>45000</v>
      </c>
      <c r="I108" s="41">
        <f>I106</f>
        <v>47250</v>
      </c>
      <c r="J108" s="8"/>
    </row>
    <row r="109" spans="2:37" hidden="1" x14ac:dyDescent="0.25">
      <c r="B109" s="78"/>
      <c r="D109" s="11">
        <f>'Concentrado agosto'!H13</f>
        <v>2154.31</v>
      </c>
      <c r="E109" s="11">
        <f>'Concentrado agosto'!O13</f>
        <v>0</v>
      </c>
      <c r="F109" s="43">
        <f>SUM(Tabla15[[#This Row],[Juan]]+Tabla15[[#This Row],[Columna1]])</f>
        <v>2154.31</v>
      </c>
      <c r="I109" s="11"/>
      <c r="J109" s="8"/>
    </row>
    <row r="110" spans="2:37" x14ac:dyDescent="0.25">
      <c r="B110" s="8"/>
      <c r="C110">
        <v>25</v>
      </c>
      <c r="D110" s="11">
        <f>D108+D109</f>
        <v>24937.13</v>
      </c>
      <c r="E110" s="11">
        <f>E108+E109</f>
        <v>34397.879999999997</v>
      </c>
      <c r="F110" s="43">
        <f>SUM(Tabla15[[#This Row],[Juan]]+Tabla15[[#This Row],[Columna1]])</f>
        <v>59335.009999999995</v>
      </c>
      <c r="G110" s="43">
        <f>G108</f>
        <v>22500</v>
      </c>
      <c r="H110" s="38">
        <f>H108</f>
        <v>45000</v>
      </c>
      <c r="I110" s="41">
        <f>I108</f>
        <v>47250</v>
      </c>
      <c r="J110" s="8"/>
    </row>
    <row r="111" spans="2:37" hidden="1" x14ac:dyDescent="0.25">
      <c r="B111" s="78"/>
      <c r="D111" s="11">
        <f>'Concentrado agosto'!H14</f>
        <v>945.68</v>
      </c>
      <c r="E111" s="11">
        <f>'Concentrado agosto'!O14</f>
        <v>0.01</v>
      </c>
      <c r="F111" s="43">
        <f>SUM(Tabla15[[#This Row],[Juan]]+Tabla15[[#This Row],[Columna1]])</f>
        <v>945.68999999999994</v>
      </c>
      <c r="I111" s="11"/>
      <c r="J111" s="8"/>
    </row>
    <row r="112" spans="2:37" x14ac:dyDescent="0.25">
      <c r="B112" s="8"/>
      <c r="C112">
        <v>26</v>
      </c>
      <c r="D112" s="11">
        <f>D110+D111</f>
        <v>25882.81</v>
      </c>
      <c r="E112" s="11">
        <f>E110+E111</f>
        <v>34397.89</v>
      </c>
      <c r="F112" s="43">
        <f>SUM(Tabla15[[#This Row],[Juan]]+Tabla15[[#This Row],[Columna1]])</f>
        <v>60280.7</v>
      </c>
      <c r="G112" s="43">
        <f>G110</f>
        <v>22500</v>
      </c>
      <c r="H112" s="38">
        <f>H110</f>
        <v>45000</v>
      </c>
      <c r="I112" s="41">
        <f>I110</f>
        <v>47250</v>
      </c>
      <c r="J112" s="8"/>
    </row>
    <row r="113" spans="2:11" hidden="1" x14ac:dyDescent="0.25">
      <c r="B113" s="78"/>
      <c r="D113" s="11">
        <f>'Concentrado agosto'!H15</f>
        <v>0.01</v>
      </c>
      <c r="E113" s="11">
        <f>'Concentrado agosto'!O15</f>
        <v>2624.58</v>
      </c>
      <c r="F113" s="43">
        <f>SUM(Tabla15[[#This Row],[Juan]]+Tabla15[[#This Row],[Columna1]])</f>
        <v>2624.59</v>
      </c>
      <c r="I113" s="11"/>
      <c r="J113" s="8"/>
    </row>
    <row r="114" spans="2:11" x14ac:dyDescent="0.25">
      <c r="B114" s="8"/>
      <c r="C114">
        <v>27</v>
      </c>
      <c r="D114" s="11">
        <f>D112+D113</f>
        <v>25882.82</v>
      </c>
      <c r="E114" s="11">
        <f>E112+E113</f>
        <v>37022.47</v>
      </c>
      <c r="F114" s="43">
        <f>SUM(Tabla15[[#This Row],[Juan]]+Tabla15[[#This Row],[Columna1]])</f>
        <v>62905.29</v>
      </c>
      <c r="G114" s="43">
        <f>G112</f>
        <v>22500</v>
      </c>
      <c r="H114" s="38">
        <f>H112</f>
        <v>45000</v>
      </c>
      <c r="I114" s="41">
        <f>I112</f>
        <v>47250</v>
      </c>
      <c r="J114" s="8"/>
    </row>
    <row r="115" spans="2:11" hidden="1" x14ac:dyDescent="0.25">
      <c r="B115" s="78"/>
      <c r="D115" s="11">
        <f>'Concentrado agosto'!H16</f>
        <v>0</v>
      </c>
      <c r="E115" s="11">
        <f>'Concentrado agosto'!O16</f>
        <v>3841.36</v>
      </c>
      <c r="F115" s="43">
        <f>SUM(Tabla15[[#This Row],[Juan]]+Tabla15[[#This Row],[Columna1]])</f>
        <v>3841.36</v>
      </c>
      <c r="I115" s="11"/>
      <c r="J115" s="8"/>
    </row>
    <row r="116" spans="2:11" x14ac:dyDescent="0.25">
      <c r="B116" s="8"/>
      <c r="C116">
        <v>28</v>
      </c>
      <c r="D116" s="11">
        <f>D114+D115</f>
        <v>25882.82</v>
      </c>
      <c r="E116" s="11">
        <f>E114+E115</f>
        <v>40863.83</v>
      </c>
      <c r="F116" s="43">
        <f>SUM(Tabla15[[#This Row],[Juan]]+Tabla15[[#This Row],[Columna1]])</f>
        <v>66746.649999999994</v>
      </c>
      <c r="G116" s="43">
        <f>G114</f>
        <v>22500</v>
      </c>
      <c r="H116" s="38">
        <f>H114</f>
        <v>45000</v>
      </c>
      <c r="I116" s="41">
        <f>I114</f>
        <v>47250</v>
      </c>
      <c r="J116" s="8"/>
    </row>
    <row r="117" spans="2:11" hidden="1" x14ac:dyDescent="0.25">
      <c r="B117" s="78"/>
      <c r="D117" s="11">
        <f>'Concentrado agosto'!H17</f>
        <v>0</v>
      </c>
      <c r="E117" s="11">
        <f>'Concentrado agosto'!O17</f>
        <v>300</v>
      </c>
      <c r="F117" s="43">
        <f>SUM(Tabla15[[#This Row],[Juan]]+Tabla15[[#This Row],[Columna1]])</f>
        <v>300</v>
      </c>
      <c r="I117" s="11"/>
      <c r="J117" s="8"/>
    </row>
    <row r="118" spans="2:11" x14ac:dyDescent="0.25">
      <c r="B118" s="8"/>
      <c r="C118">
        <v>29</v>
      </c>
      <c r="D118" s="11">
        <f>D116+D117</f>
        <v>25882.82</v>
      </c>
      <c r="E118" s="11">
        <f>E116+E117</f>
        <v>41163.83</v>
      </c>
      <c r="F118" s="43">
        <f>SUM(Tabla15[[#This Row],[Juan]]+Tabla15[[#This Row],[Columna1]])</f>
        <v>67046.649999999994</v>
      </c>
      <c r="G118" s="43">
        <f>G116</f>
        <v>22500</v>
      </c>
      <c r="H118" s="38">
        <f>H116</f>
        <v>45000</v>
      </c>
      <c r="I118" s="41">
        <f>I116</f>
        <v>47250</v>
      </c>
      <c r="J118" s="8"/>
    </row>
    <row r="119" spans="2:11" hidden="1" x14ac:dyDescent="0.25">
      <c r="B119" s="78"/>
      <c r="D119" s="11">
        <f>'Concentrado agosto'!H18</f>
        <v>0</v>
      </c>
      <c r="E119" s="11">
        <f>'Concentrado agosto'!O18</f>
        <v>4740.5200000000004</v>
      </c>
      <c r="F119" s="43">
        <f>SUM(Tabla15[[#This Row],[Juan]]+Tabla15[[#This Row],[Columna1]])</f>
        <v>4740.5200000000004</v>
      </c>
      <c r="I119" s="11"/>
      <c r="J119" s="8"/>
    </row>
    <row r="120" spans="2:11" x14ac:dyDescent="0.25">
      <c r="B120" s="8"/>
      <c r="C120">
        <v>30</v>
      </c>
      <c r="D120" s="11">
        <f>D118+D119</f>
        <v>25882.82</v>
      </c>
      <c r="E120" s="11">
        <f>E118+E119</f>
        <v>45904.350000000006</v>
      </c>
      <c r="F120" s="43">
        <f>SUM(Tabla15[[#This Row],[Juan]]+Tabla15[[#This Row],[Columna1]])</f>
        <v>71787.170000000013</v>
      </c>
      <c r="G120" s="43">
        <f>G118</f>
        <v>22500</v>
      </c>
      <c r="H120" s="38">
        <f>H118</f>
        <v>45000</v>
      </c>
      <c r="I120" s="41">
        <f>I118</f>
        <v>47250</v>
      </c>
      <c r="J120" s="8"/>
    </row>
    <row r="121" spans="2:11" hidden="1" x14ac:dyDescent="0.25">
      <c r="B121" s="78"/>
      <c r="D121" s="11">
        <f>'Concentrado agosto'!H19</f>
        <v>2196.5500000000002</v>
      </c>
      <c r="E121" s="11">
        <f>'Concentrado agosto'!O19</f>
        <v>1825</v>
      </c>
      <c r="F121" s="43">
        <f>SUM(Tabla15[[#This Row],[Juan]]+Tabla15[[#This Row],[Columna1]])</f>
        <v>4021.55</v>
      </c>
      <c r="I121" s="11"/>
      <c r="J121" s="8"/>
    </row>
    <row r="122" spans="2:11" x14ac:dyDescent="0.25">
      <c r="B122" s="8"/>
      <c r="C122">
        <v>31</v>
      </c>
      <c r="D122" s="11">
        <f>D120+D121</f>
        <v>28079.37</v>
      </c>
      <c r="E122" s="11">
        <f>E120+E121</f>
        <v>47729.350000000006</v>
      </c>
      <c r="F122" s="43">
        <f>SUM(Tabla15[[#This Row],[Juan]]+Tabla15[[#This Row],[Columna1]])</f>
        <v>75808.72</v>
      </c>
      <c r="G122" s="43">
        <f>G120</f>
        <v>22500</v>
      </c>
      <c r="H122" s="38">
        <f>H120</f>
        <v>45000</v>
      </c>
      <c r="I122" s="41">
        <f>I120</f>
        <v>47250</v>
      </c>
      <c r="J122" s="8"/>
    </row>
    <row r="123" spans="2:11" x14ac:dyDescent="0.25">
      <c r="I123" s="41"/>
      <c r="K123" s="8"/>
    </row>
    <row r="125" spans="2:11" x14ac:dyDescent="0.25">
      <c r="C125" s="46" t="s">
        <v>13</v>
      </c>
      <c r="D125" t="s">
        <v>9</v>
      </c>
      <c r="E125" s="8" t="s">
        <v>8</v>
      </c>
      <c r="F125" s="8" t="s">
        <v>10</v>
      </c>
    </row>
    <row r="126" spans="2:11" x14ac:dyDescent="0.25">
      <c r="D126" s="11">
        <f t="shared" ref="D126:F145" si="0">D61</f>
        <v>386.2</v>
      </c>
      <c r="E126" s="41">
        <f t="shared" si="0"/>
        <v>1175.3599999999999</v>
      </c>
      <c r="F126" s="38">
        <f t="shared" si="0"/>
        <v>1561.56</v>
      </c>
    </row>
    <row r="127" spans="2:11" hidden="1" x14ac:dyDescent="0.25">
      <c r="C127">
        <v>1</v>
      </c>
      <c r="D127" s="11">
        <f t="shared" si="0"/>
        <v>386.2</v>
      </c>
      <c r="E127" s="41">
        <f t="shared" si="0"/>
        <v>1175.3599999999999</v>
      </c>
      <c r="F127" s="38">
        <f t="shared" si="0"/>
        <v>1561.56</v>
      </c>
    </row>
    <row r="128" spans="2:11" x14ac:dyDescent="0.25">
      <c r="D128" s="41">
        <f t="shared" si="0"/>
        <v>2234.0300000000002</v>
      </c>
      <c r="E128" s="41">
        <f t="shared" si="0"/>
        <v>3361.2</v>
      </c>
      <c r="F128" s="38">
        <f t="shared" si="0"/>
        <v>5595.23</v>
      </c>
    </row>
    <row r="129" spans="3:6" hidden="1" x14ac:dyDescent="0.25">
      <c r="C129">
        <v>2</v>
      </c>
      <c r="D129" s="11">
        <f t="shared" si="0"/>
        <v>2620.23</v>
      </c>
      <c r="E129" s="41">
        <f t="shared" si="0"/>
        <v>4536.5599999999995</v>
      </c>
      <c r="F129" s="38">
        <f t="shared" si="0"/>
        <v>7156.7899999999991</v>
      </c>
    </row>
    <row r="130" spans="3:6" x14ac:dyDescent="0.25">
      <c r="D130" s="11">
        <f t="shared" si="0"/>
        <v>0</v>
      </c>
      <c r="E130" s="41">
        <f t="shared" si="0"/>
        <v>2498.44</v>
      </c>
      <c r="F130" s="38">
        <f t="shared" si="0"/>
        <v>2498.44</v>
      </c>
    </row>
    <row r="131" spans="3:6" hidden="1" x14ac:dyDescent="0.25">
      <c r="C131">
        <v>3</v>
      </c>
      <c r="D131" s="11">
        <f t="shared" si="0"/>
        <v>2620.23</v>
      </c>
      <c r="E131" s="41">
        <f t="shared" si="0"/>
        <v>7035</v>
      </c>
      <c r="F131" s="38">
        <f t="shared" si="0"/>
        <v>9655.23</v>
      </c>
    </row>
    <row r="132" spans="3:6" x14ac:dyDescent="0.25">
      <c r="D132" s="41">
        <f t="shared" si="0"/>
        <v>300</v>
      </c>
      <c r="E132" s="41">
        <f t="shared" si="0"/>
        <v>6480.65</v>
      </c>
      <c r="F132" s="38">
        <f t="shared" si="0"/>
        <v>6780.65</v>
      </c>
    </row>
    <row r="133" spans="3:6" hidden="1" x14ac:dyDescent="0.25">
      <c r="C133">
        <v>4</v>
      </c>
      <c r="D133" s="11">
        <f t="shared" si="0"/>
        <v>2920.23</v>
      </c>
      <c r="E133" s="41">
        <f t="shared" si="0"/>
        <v>13515.65</v>
      </c>
      <c r="F133" s="38">
        <f t="shared" si="0"/>
        <v>16435.88</v>
      </c>
    </row>
    <row r="134" spans="3:6" x14ac:dyDescent="0.25">
      <c r="D134" s="11">
        <f t="shared" si="0"/>
        <v>0</v>
      </c>
      <c r="E134" s="41">
        <f t="shared" si="0"/>
        <v>0.01</v>
      </c>
      <c r="F134" s="38">
        <f t="shared" si="0"/>
        <v>0.01</v>
      </c>
    </row>
    <row r="135" spans="3:6" hidden="1" x14ac:dyDescent="0.25">
      <c r="C135">
        <v>5</v>
      </c>
      <c r="D135" s="11">
        <f t="shared" si="0"/>
        <v>2920.23</v>
      </c>
      <c r="E135" s="41">
        <f t="shared" si="0"/>
        <v>13515.66</v>
      </c>
      <c r="F135" s="38">
        <f t="shared" si="0"/>
        <v>16435.89</v>
      </c>
    </row>
    <row r="136" spans="3:6" x14ac:dyDescent="0.25">
      <c r="D136" s="41">
        <f t="shared" si="0"/>
        <v>0.01</v>
      </c>
      <c r="E136" s="41">
        <f t="shared" si="0"/>
        <v>0</v>
      </c>
      <c r="F136" s="38">
        <f t="shared" si="0"/>
        <v>0.01</v>
      </c>
    </row>
    <row r="137" spans="3:6" hidden="1" x14ac:dyDescent="0.25">
      <c r="C137">
        <v>6</v>
      </c>
      <c r="D137" s="41">
        <f t="shared" si="0"/>
        <v>2920.2400000000002</v>
      </c>
      <c r="E137" s="41">
        <f t="shared" si="0"/>
        <v>13515.66</v>
      </c>
      <c r="F137" s="38">
        <f t="shared" si="0"/>
        <v>16435.900000000001</v>
      </c>
    </row>
    <row r="138" spans="3:6" x14ac:dyDescent="0.25">
      <c r="D138" s="41">
        <f t="shared" si="0"/>
        <v>0</v>
      </c>
      <c r="E138" s="41">
        <f t="shared" si="0"/>
        <v>0</v>
      </c>
      <c r="F138" s="38">
        <f t="shared" si="0"/>
        <v>0</v>
      </c>
    </row>
    <row r="139" spans="3:6" hidden="1" x14ac:dyDescent="0.25">
      <c r="C139">
        <v>7</v>
      </c>
      <c r="D139" s="41">
        <f t="shared" si="0"/>
        <v>2920.2400000000002</v>
      </c>
      <c r="E139" s="41">
        <f t="shared" si="0"/>
        <v>13515.66</v>
      </c>
      <c r="F139" s="38">
        <f t="shared" si="0"/>
        <v>16435.900000000001</v>
      </c>
    </row>
    <row r="140" spans="3:6" x14ac:dyDescent="0.25">
      <c r="D140" s="41">
        <f t="shared" si="0"/>
        <v>0</v>
      </c>
      <c r="E140" s="41">
        <f t="shared" si="0"/>
        <v>0</v>
      </c>
      <c r="F140" s="38">
        <f t="shared" si="0"/>
        <v>0</v>
      </c>
    </row>
    <row r="141" spans="3:6" hidden="1" x14ac:dyDescent="0.25">
      <c r="C141">
        <v>8</v>
      </c>
      <c r="D141" s="41">
        <f t="shared" si="0"/>
        <v>2920.2400000000002</v>
      </c>
      <c r="E141" s="41">
        <f t="shared" si="0"/>
        <v>13515.66</v>
      </c>
      <c r="F141" s="38">
        <f t="shared" si="0"/>
        <v>16435.900000000001</v>
      </c>
    </row>
    <row r="142" spans="3:6" x14ac:dyDescent="0.25">
      <c r="D142" s="41">
        <f t="shared" si="0"/>
        <v>0</v>
      </c>
      <c r="E142" s="41">
        <f t="shared" si="0"/>
        <v>0</v>
      </c>
      <c r="F142" s="38">
        <f t="shared" si="0"/>
        <v>0</v>
      </c>
    </row>
    <row r="143" spans="3:6" hidden="1" x14ac:dyDescent="0.25">
      <c r="C143">
        <v>9</v>
      </c>
      <c r="D143" s="41">
        <f t="shared" si="0"/>
        <v>2920.2400000000002</v>
      </c>
      <c r="E143" s="41">
        <f t="shared" si="0"/>
        <v>13515.66</v>
      </c>
      <c r="F143" s="38">
        <f t="shared" si="0"/>
        <v>16435.900000000001</v>
      </c>
    </row>
    <row r="144" spans="3:6" x14ac:dyDescent="0.25">
      <c r="D144" s="41">
        <f t="shared" si="0"/>
        <v>0</v>
      </c>
      <c r="E144" s="41">
        <f t="shared" si="0"/>
        <v>0</v>
      </c>
      <c r="F144" s="38">
        <f t="shared" si="0"/>
        <v>0</v>
      </c>
    </row>
    <row r="145" spans="3:6" hidden="1" x14ac:dyDescent="0.25">
      <c r="C145">
        <v>10</v>
      </c>
      <c r="D145" s="41">
        <f t="shared" si="0"/>
        <v>2920.2400000000002</v>
      </c>
      <c r="E145" s="41">
        <f t="shared" si="0"/>
        <v>13515.66</v>
      </c>
      <c r="F145" s="38">
        <f t="shared" si="0"/>
        <v>16435.900000000001</v>
      </c>
    </row>
    <row r="146" spans="3:6" x14ac:dyDescent="0.25">
      <c r="D146" s="41">
        <f t="shared" ref="D146:F165" si="1">D81</f>
        <v>1550.86</v>
      </c>
      <c r="E146" s="41">
        <f t="shared" si="1"/>
        <v>1981.89</v>
      </c>
      <c r="F146" s="38">
        <f t="shared" si="1"/>
        <v>3532.75</v>
      </c>
    </row>
    <row r="147" spans="3:6" hidden="1" x14ac:dyDescent="0.25">
      <c r="C147">
        <v>11</v>
      </c>
      <c r="D147" s="41">
        <f t="shared" si="1"/>
        <v>4471.1000000000004</v>
      </c>
      <c r="E147" s="41">
        <f t="shared" si="1"/>
        <v>15497.55</v>
      </c>
      <c r="F147" s="38">
        <f t="shared" si="1"/>
        <v>19968.650000000001</v>
      </c>
    </row>
    <row r="148" spans="3:6" x14ac:dyDescent="0.25">
      <c r="D148" s="41">
        <f t="shared" si="1"/>
        <v>0</v>
      </c>
      <c r="E148" s="41">
        <f t="shared" si="1"/>
        <v>0.01</v>
      </c>
      <c r="F148" s="38">
        <f t="shared" si="1"/>
        <v>0.01</v>
      </c>
    </row>
    <row r="149" spans="3:6" hidden="1" x14ac:dyDescent="0.25">
      <c r="C149">
        <v>12</v>
      </c>
      <c r="D149" s="41">
        <f t="shared" si="1"/>
        <v>4471.1000000000004</v>
      </c>
      <c r="E149" s="41">
        <f t="shared" si="1"/>
        <v>15497.56</v>
      </c>
      <c r="F149" s="38">
        <f t="shared" si="1"/>
        <v>19968.66</v>
      </c>
    </row>
    <row r="150" spans="3:6" x14ac:dyDescent="0.25">
      <c r="D150" s="41">
        <f t="shared" si="1"/>
        <v>0.01</v>
      </c>
      <c r="E150" s="41">
        <f t="shared" si="1"/>
        <v>0</v>
      </c>
      <c r="F150" s="38">
        <f t="shared" si="1"/>
        <v>0.01</v>
      </c>
    </row>
    <row r="151" spans="3:6" hidden="1" x14ac:dyDescent="0.25">
      <c r="C151">
        <v>13</v>
      </c>
      <c r="D151" s="41">
        <f t="shared" si="1"/>
        <v>4471.1100000000006</v>
      </c>
      <c r="E151" s="41">
        <f t="shared" si="1"/>
        <v>15497.56</v>
      </c>
      <c r="F151" s="38">
        <f t="shared" si="1"/>
        <v>19968.669999999998</v>
      </c>
    </row>
    <row r="152" spans="3:6" x14ac:dyDescent="0.25">
      <c r="D152" s="41">
        <f t="shared" si="1"/>
        <v>0</v>
      </c>
      <c r="E152" s="41">
        <f t="shared" si="1"/>
        <v>4080.92</v>
      </c>
      <c r="F152" s="38">
        <f t="shared" si="1"/>
        <v>4080.92</v>
      </c>
    </row>
    <row r="153" spans="3:6" hidden="1" x14ac:dyDescent="0.25">
      <c r="C153">
        <v>14</v>
      </c>
      <c r="D153" s="41">
        <f t="shared" si="1"/>
        <v>4471.1100000000006</v>
      </c>
      <c r="E153" s="41">
        <f t="shared" si="1"/>
        <v>19578.48</v>
      </c>
      <c r="F153" s="38">
        <f t="shared" si="1"/>
        <v>24049.59</v>
      </c>
    </row>
    <row r="154" spans="3:6" x14ac:dyDescent="0.25">
      <c r="D154" s="41">
        <f t="shared" si="1"/>
        <v>343.1</v>
      </c>
      <c r="E154" s="41">
        <f t="shared" si="1"/>
        <v>5705.79</v>
      </c>
      <c r="F154" s="38">
        <f t="shared" si="1"/>
        <v>6048.89</v>
      </c>
    </row>
    <row r="155" spans="3:6" hidden="1" x14ac:dyDescent="0.25">
      <c r="C155">
        <v>15</v>
      </c>
      <c r="D155" s="41">
        <f t="shared" si="1"/>
        <v>4814.2100000000009</v>
      </c>
      <c r="E155" s="41">
        <f t="shared" si="1"/>
        <v>25284.27</v>
      </c>
      <c r="F155" s="38">
        <f t="shared" si="1"/>
        <v>30098.480000000003</v>
      </c>
    </row>
    <row r="156" spans="3:6" x14ac:dyDescent="0.25">
      <c r="D156" s="41">
        <f t="shared" si="1"/>
        <v>3489.28</v>
      </c>
      <c r="E156" s="41">
        <f t="shared" si="1"/>
        <v>2519.81</v>
      </c>
      <c r="F156" s="38">
        <f t="shared" si="1"/>
        <v>6009.09</v>
      </c>
    </row>
    <row r="157" spans="3:6" hidden="1" x14ac:dyDescent="0.25">
      <c r="C157">
        <v>16</v>
      </c>
      <c r="D157" s="41">
        <f t="shared" si="1"/>
        <v>8303.4900000000016</v>
      </c>
      <c r="E157" s="41">
        <f t="shared" si="1"/>
        <v>27804.080000000002</v>
      </c>
      <c r="F157" s="38">
        <f t="shared" si="1"/>
        <v>36107.570000000007</v>
      </c>
    </row>
    <row r="158" spans="3:6" x14ac:dyDescent="0.25">
      <c r="D158" s="41">
        <f t="shared" si="1"/>
        <v>2663.77</v>
      </c>
      <c r="E158" s="41">
        <f t="shared" si="1"/>
        <v>2292.7399999999998</v>
      </c>
      <c r="F158" s="38">
        <f t="shared" si="1"/>
        <v>4956.51</v>
      </c>
    </row>
    <row r="159" spans="3:6" hidden="1" x14ac:dyDescent="0.25">
      <c r="C159">
        <v>17</v>
      </c>
      <c r="D159" s="41">
        <f t="shared" si="1"/>
        <v>10967.260000000002</v>
      </c>
      <c r="E159" s="41">
        <f t="shared" si="1"/>
        <v>30096.82</v>
      </c>
      <c r="F159" s="38">
        <f t="shared" si="1"/>
        <v>41064.080000000002</v>
      </c>
    </row>
    <row r="160" spans="3:6" x14ac:dyDescent="0.25">
      <c r="D160" s="41">
        <f t="shared" si="1"/>
        <v>3931.46</v>
      </c>
      <c r="E160" s="41">
        <f t="shared" si="1"/>
        <v>343.1</v>
      </c>
      <c r="F160" s="38">
        <f t="shared" si="1"/>
        <v>4274.5600000000004</v>
      </c>
    </row>
    <row r="161" spans="3:6" hidden="1" x14ac:dyDescent="0.25">
      <c r="C161">
        <v>18</v>
      </c>
      <c r="D161" s="41">
        <f t="shared" si="1"/>
        <v>14898.720000000001</v>
      </c>
      <c r="E161" s="38">
        <f t="shared" si="1"/>
        <v>30439.919999999998</v>
      </c>
      <c r="F161" s="38">
        <f t="shared" si="1"/>
        <v>45338.64</v>
      </c>
    </row>
    <row r="162" spans="3:6" x14ac:dyDescent="0.25">
      <c r="D162" s="41">
        <f t="shared" si="1"/>
        <v>561.22</v>
      </c>
      <c r="E162" s="38">
        <f t="shared" si="1"/>
        <v>0.01</v>
      </c>
      <c r="F162" s="38">
        <f t="shared" si="1"/>
        <v>561.23</v>
      </c>
    </row>
    <row r="163" spans="3:6" hidden="1" x14ac:dyDescent="0.25">
      <c r="C163">
        <v>19</v>
      </c>
      <c r="D163" s="41">
        <f t="shared" si="1"/>
        <v>15459.94</v>
      </c>
      <c r="E163" s="38">
        <f t="shared" si="1"/>
        <v>30439.929999999997</v>
      </c>
      <c r="F163" s="41">
        <f t="shared" si="1"/>
        <v>45899.869999999995</v>
      </c>
    </row>
    <row r="164" spans="3:6" x14ac:dyDescent="0.25">
      <c r="D164" s="41">
        <f t="shared" si="1"/>
        <v>0</v>
      </c>
      <c r="E164" s="38">
        <f t="shared" si="1"/>
        <v>687.06</v>
      </c>
      <c r="F164" s="41">
        <f t="shared" si="1"/>
        <v>687.06</v>
      </c>
    </row>
    <row r="165" spans="3:6" hidden="1" x14ac:dyDescent="0.25">
      <c r="C165">
        <v>20</v>
      </c>
      <c r="D165" s="41">
        <f t="shared" si="1"/>
        <v>15459.94</v>
      </c>
      <c r="E165" s="41">
        <f t="shared" si="1"/>
        <v>31126.989999999998</v>
      </c>
      <c r="F165" s="41">
        <f t="shared" si="1"/>
        <v>46586.93</v>
      </c>
    </row>
    <row r="166" spans="3:6" x14ac:dyDescent="0.25">
      <c r="D166" s="41">
        <f t="shared" ref="D166:F185" si="2">D101</f>
        <v>0</v>
      </c>
      <c r="E166" s="41">
        <f t="shared" si="2"/>
        <v>947.41</v>
      </c>
      <c r="F166" s="41">
        <f t="shared" si="2"/>
        <v>947.41</v>
      </c>
    </row>
    <row r="167" spans="3:6" hidden="1" x14ac:dyDescent="0.25">
      <c r="C167">
        <v>21</v>
      </c>
      <c r="D167" s="41">
        <f t="shared" si="2"/>
        <v>15459.94</v>
      </c>
      <c r="E167" s="41">
        <f t="shared" si="2"/>
        <v>32074.399999999998</v>
      </c>
      <c r="F167" s="41">
        <f t="shared" si="2"/>
        <v>47534.34</v>
      </c>
    </row>
    <row r="168" spans="3:6" x14ac:dyDescent="0.25">
      <c r="D168" s="41">
        <f t="shared" si="2"/>
        <v>0</v>
      </c>
      <c r="E168" s="41">
        <f t="shared" si="2"/>
        <v>0</v>
      </c>
      <c r="F168" s="41">
        <f t="shared" si="2"/>
        <v>0</v>
      </c>
    </row>
    <row r="169" spans="3:6" hidden="1" x14ac:dyDescent="0.25">
      <c r="C169">
        <v>22</v>
      </c>
      <c r="D169" s="41">
        <f t="shared" si="2"/>
        <v>15459.94</v>
      </c>
      <c r="E169" s="41">
        <f t="shared" si="2"/>
        <v>32074.399999999998</v>
      </c>
      <c r="F169" s="41">
        <f t="shared" si="2"/>
        <v>47534.34</v>
      </c>
    </row>
    <row r="170" spans="3:6" x14ac:dyDescent="0.25">
      <c r="D170" s="41">
        <f t="shared" si="2"/>
        <v>171.21</v>
      </c>
      <c r="E170" s="41">
        <f t="shared" si="2"/>
        <v>1979.31</v>
      </c>
      <c r="F170" s="41">
        <f t="shared" si="2"/>
        <v>2150.52</v>
      </c>
    </row>
    <row r="171" spans="3:6" hidden="1" x14ac:dyDescent="0.25">
      <c r="C171">
        <v>23</v>
      </c>
      <c r="D171" s="41">
        <f t="shared" si="2"/>
        <v>15631.15</v>
      </c>
      <c r="E171" s="41">
        <f t="shared" si="2"/>
        <v>34053.71</v>
      </c>
      <c r="F171" s="41">
        <f t="shared" si="2"/>
        <v>49684.86</v>
      </c>
    </row>
    <row r="172" spans="3:6" x14ac:dyDescent="0.25">
      <c r="D172" s="41">
        <f t="shared" si="2"/>
        <v>7151.67</v>
      </c>
      <c r="E172" s="41">
        <f t="shared" si="2"/>
        <v>344.17</v>
      </c>
      <c r="F172" s="41">
        <f t="shared" si="2"/>
        <v>7495.84</v>
      </c>
    </row>
    <row r="173" spans="3:6" hidden="1" x14ac:dyDescent="0.25">
      <c r="C173">
        <v>24</v>
      </c>
      <c r="D173" s="41">
        <f t="shared" si="2"/>
        <v>22782.82</v>
      </c>
      <c r="E173" s="41">
        <f t="shared" si="2"/>
        <v>34397.879999999997</v>
      </c>
      <c r="F173" s="41">
        <f t="shared" si="2"/>
        <v>57180.7</v>
      </c>
    </row>
    <row r="174" spans="3:6" x14ac:dyDescent="0.25">
      <c r="D174" s="41">
        <f t="shared" si="2"/>
        <v>2154.31</v>
      </c>
      <c r="E174" s="41">
        <f t="shared" si="2"/>
        <v>0</v>
      </c>
      <c r="F174" s="41">
        <f t="shared" si="2"/>
        <v>2154.31</v>
      </c>
    </row>
    <row r="175" spans="3:6" hidden="1" x14ac:dyDescent="0.25">
      <c r="C175">
        <v>25</v>
      </c>
      <c r="D175" s="41">
        <f t="shared" si="2"/>
        <v>24937.13</v>
      </c>
      <c r="E175" s="41">
        <f t="shared" si="2"/>
        <v>34397.879999999997</v>
      </c>
      <c r="F175" s="41">
        <f t="shared" si="2"/>
        <v>59335.009999999995</v>
      </c>
    </row>
    <row r="176" spans="3:6" x14ac:dyDescent="0.25">
      <c r="D176" s="41">
        <f t="shared" si="2"/>
        <v>945.68</v>
      </c>
      <c r="E176" s="41">
        <f t="shared" si="2"/>
        <v>0.01</v>
      </c>
      <c r="F176" s="41">
        <f t="shared" si="2"/>
        <v>945.68999999999994</v>
      </c>
    </row>
    <row r="177" spans="3:6" hidden="1" x14ac:dyDescent="0.25">
      <c r="C177">
        <v>26</v>
      </c>
      <c r="D177" s="41">
        <f t="shared" si="2"/>
        <v>25882.81</v>
      </c>
      <c r="E177" s="41">
        <f t="shared" si="2"/>
        <v>34397.89</v>
      </c>
      <c r="F177" s="41">
        <f t="shared" si="2"/>
        <v>60280.7</v>
      </c>
    </row>
    <row r="178" spans="3:6" x14ac:dyDescent="0.25">
      <c r="D178" s="41">
        <f t="shared" si="2"/>
        <v>0.01</v>
      </c>
      <c r="E178" s="41">
        <f t="shared" si="2"/>
        <v>2624.58</v>
      </c>
      <c r="F178" s="41">
        <f t="shared" si="2"/>
        <v>2624.59</v>
      </c>
    </row>
    <row r="179" spans="3:6" hidden="1" x14ac:dyDescent="0.25">
      <c r="C179">
        <v>27</v>
      </c>
      <c r="D179" s="41">
        <f t="shared" si="2"/>
        <v>25882.82</v>
      </c>
      <c r="E179" s="41">
        <f t="shared" si="2"/>
        <v>37022.47</v>
      </c>
      <c r="F179" s="41">
        <f t="shared" si="2"/>
        <v>62905.29</v>
      </c>
    </row>
    <row r="180" spans="3:6" x14ac:dyDescent="0.25">
      <c r="D180" s="41">
        <f t="shared" si="2"/>
        <v>0</v>
      </c>
      <c r="E180" s="41">
        <f t="shared" si="2"/>
        <v>3841.36</v>
      </c>
      <c r="F180" s="41">
        <f t="shared" si="2"/>
        <v>3841.36</v>
      </c>
    </row>
    <row r="181" spans="3:6" hidden="1" x14ac:dyDescent="0.25">
      <c r="C181">
        <v>28</v>
      </c>
      <c r="D181" s="41">
        <f t="shared" si="2"/>
        <v>25882.82</v>
      </c>
      <c r="E181" s="41">
        <f t="shared" si="2"/>
        <v>40863.83</v>
      </c>
      <c r="F181" s="41">
        <f t="shared" si="2"/>
        <v>66746.649999999994</v>
      </c>
    </row>
    <row r="182" spans="3:6" x14ac:dyDescent="0.25">
      <c r="D182" s="41">
        <f t="shared" si="2"/>
        <v>0</v>
      </c>
      <c r="E182" s="41">
        <f t="shared" si="2"/>
        <v>300</v>
      </c>
      <c r="F182" s="41">
        <f t="shared" si="2"/>
        <v>300</v>
      </c>
    </row>
    <row r="183" spans="3:6" hidden="1" x14ac:dyDescent="0.25">
      <c r="C183">
        <v>29</v>
      </c>
      <c r="D183" s="41">
        <f t="shared" si="2"/>
        <v>25882.82</v>
      </c>
      <c r="E183" s="41">
        <f t="shared" si="2"/>
        <v>41163.83</v>
      </c>
      <c r="F183" s="41">
        <f t="shared" si="2"/>
        <v>67046.649999999994</v>
      </c>
    </row>
    <row r="184" spans="3:6" x14ac:dyDescent="0.25">
      <c r="D184" s="41">
        <f t="shared" si="2"/>
        <v>0</v>
      </c>
      <c r="E184" s="41">
        <f t="shared" si="2"/>
        <v>4740.5200000000004</v>
      </c>
      <c r="F184" s="41">
        <f t="shared" si="2"/>
        <v>4740.5200000000004</v>
      </c>
    </row>
    <row r="185" spans="3:6" hidden="1" x14ac:dyDescent="0.25">
      <c r="C185">
        <v>30</v>
      </c>
      <c r="D185" s="41">
        <f t="shared" si="2"/>
        <v>25882.82</v>
      </c>
      <c r="E185" s="41">
        <f t="shared" si="2"/>
        <v>45904.350000000006</v>
      </c>
      <c r="F185" s="41">
        <f t="shared" si="2"/>
        <v>71787.170000000013</v>
      </c>
    </row>
    <row r="186" spans="3:6" x14ac:dyDescent="0.25">
      <c r="D186" s="41">
        <f t="shared" ref="D186:F187" si="3">D121</f>
        <v>2196.5500000000002</v>
      </c>
      <c r="E186" s="41">
        <f t="shared" si="3"/>
        <v>1825</v>
      </c>
      <c r="F186" s="41">
        <f t="shared" si="3"/>
        <v>4021.55</v>
      </c>
    </row>
    <row r="187" spans="3:6" hidden="1" x14ac:dyDescent="0.25">
      <c r="C187">
        <v>31</v>
      </c>
      <c r="D187" s="41">
        <f t="shared" si="3"/>
        <v>28079.37</v>
      </c>
      <c r="E187" s="41">
        <f t="shared" si="3"/>
        <v>47729.350000000006</v>
      </c>
      <c r="F187" s="41">
        <f t="shared" si="3"/>
        <v>75808.72</v>
      </c>
    </row>
  </sheetData>
  <mergeCells count="12">
    <mergeCell ref="Z98:AB98"/>
    <mergeCell ref="AC98:AD98"/>
    <mergeCell ref="AG98:AI98"/>
    <mergeCell ref="AJ98:AK98"/>
    <mergeCell ref="Z94:AB94"/>
    <mergeCell ref="AC94:AD94"/>
    <mergeCell ref="AG94:AI94"/>
    <mergeCell ref="AJ94:AK94"/>
    <mergeCell ref="Z96:AB96"/>
    <mergeCell ref="AC96:AD96"/>
    <mergeCell ref="AG96:AI96"/>
    <mergeCell ref="AJ96:AK96"/>
  </mergeCells>
  <conditionalFormatting sqref="Q66:Q67">
    <cfRule type="cellIs" dxfId="21" priority="12" operator="greaterThan">
      <formula>88000</formula>
    </cfRule>
  </conditionalFormatting>
  <conditionalFormatting sqref="AC98:AD99">
    <cfRule type="cellIs" dxfId="20" priority="10" operator="lessThan">
      <formula>0</formula>
    </cfRule>
  </conditionalFormatting>
  <conditionalFormatting sqref="AJ98:AK99">
    <cfRule type="cellIs" dxfId="19" priority="11" operator="lessThan">
      <formula>0</formula>
    </cfRule>
  </conditionalFormatting>
  <conditionalFormatting sqref="AC94:AD95">
    <cfRule type="cellIs" dxfId="18" priority="9" operator="greaterThan">
      <formula>44000</formula>
    </cfRule>
  </conditionalFormatting>
  <conditionalFormatting sqref="AJ94:AK95">
    <cfRule type="cellIs" dxfId="17" priority="8" operator="greaterThan">
      <formula>44000</formula>
    </cfRule>
  </conditionalFormatting>
  <conditionalFormatting sqref="Q66:R67">
    <cfRule type="cellIs" dxfId="16" priority="7" operator="greaterThan">
      <formula>88000</formula>
    </cfRule>
  </conditionalFormatting>
  <conditionalFormatting sqref="P72:R75">
    <cfRule type="containsText" dxfId="15" priority="6" operator="containsText" text="¡FELICIDADES CARLOS!">
      <formula>NOT(ISERROR(SEARCH("¡FELICIDADES CARLOS!",P72)))</formula>
    </cfRule>
  </conditionalFormatting>
  <conditionalFormatting sqref="P62:R65">
    <cfRule type="containsText" dxfId="14" priority="5" operator="containsText" text="¡FELICIDADES JUAN!">
      <formula>NOT(ISERROR(SEARCH("¡FELICIDADES JUAN!",P62)))</formula>
    </cfRule>
  </conditionalFormatting>
  <conditionalFormatting sqref="Q68:R69">
    <cfRule type="cellIs" dxfId="13" priority="4" operator="greaterThan">
      <formula>0.95</formula>
    </cfRule>
  </conditionalFormatting>
  <conditionalFormatting sqref="AJ96:AK97">
    <cfRule type="cellIs" dxfId="12" priority="3" operator="greaterThan">
      <formula>0.95</formula>
    </cfRule>
  </conditionalFormatting>
  <conditionalFormatting sqref="AC96:AD97">
    <cfRule type="cellIs" dxfId="11" priority="2" operator="greaterThan">
      <formula>0.95</formula>
    </cfRule>
  </conditionalFormatting>
  <conditionalFormatting sqref="Q70:R71">
    <cfRule type="cellIs" dxfId="10" priority="1" operator="lessThan">
      <formula>0</formula>
    </cfRule>
  </conditionalFormatting>
  <dataValidations count="3">
    <dataValidation allowBlank="1" showInputMessage="1" showErrorMessage="1" errorTitle="Día" sqref="K59 J60:J89" xr:uid="{00000000-0002-0000-0100-000002000000}"/>
    <dataValidation type="list" allowBlank="1" showInputMessage="1" showErrorMessage="1" sqref="B2" xr:uid="{00000000-0002-0000-0100-000001000000}">
      <formula1>#REF!</formula1>
    </dataValidation>
    <dataValidation type="whole" showInputMessage="1" showErrorMessage="1" sqref="B55" xr:uid="{00000000-0002-0000-0100-000000000000}">
      <formula1>1</formula1>
      <formula2>31</formula2>
    </dataValidation>
  </dataValidation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Concentrado octubre</vt:lpstr>
      <vt:lpstr>Resumen oct</vt:lpstr>
      <vt:lpstr>Concentrado septiembre</vt:lpstr>
      <vt:lpstr>Resumen sep</vt:lpstr>
      <vt:lpstr>Concentrado agosto</vt:lpstr>
      <vt:lpstr>Resumen ago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Punto de Venta</dc:creator>
  <cp:lastModifiedBy>Usuario</cp:lastModifiedBy>
  <cp:lastPrinted>2019-06-18T22:36:54Z</cp:lastPrinted>
  <dcterms:created xsi:type="dcterms:W3CDTF">2019-06-08T20:26:01Z</dcterms:created>
  <dcterms:modified xsi:type="dcterms:W3CDTF">2022-07-07T22:19:32Z</dcterms:modified>
</cp:coreProperties>
</file>