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810" yWindow="-105" windowWidth="8490" windowHeight="7425" tabRatio="710" firstSheet="1" activeTab="3"/>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45621"/>
</workbook>
</file>

<file path=xl/calcChain.xml><?xml version="1.0" encoding="utf-8"?>
<calcChain xmlns="http://schemas.openxmlformats.org/spreadsheetml/2006/main">
  <c r="K59" i="26" l="1"/>
  <c r="K50" i="26"/>
  <c r="J38" i="26" l="1"/>
  <c r="K38" i="26" s="1"/>
  <c r="F43" i="26" l="1"/>
  <c r="F44" i="26" l="1"/>
  <c r="J45" i="26" l="1"/>
  <c r="K45" i="26" s="1"/>
  <c r="D11" i="40"/>
  <c r="E11" i="40" s="1"/>
  <c r="H17" i="26" l="1"/>
  <c r="H21" i="26"/>
  <c r="H20" i="26"/>
  <c r="H19" i="26"/>
  <c r="H12" i="26"/>
  <c r="F9" i="35"/>
  <c r="F10" i="35"/>
  <c r="F11" i="35"/>
  <c r="F12" i="35"/>
  <c r="F13" i="35"/>
  <c r="F14" i="35"/>
  <c r="F15" i="35"/>
  <c r="F16" i="35"/>
  <c r="F8" i="35"/>
  <c r="H27" i="26" l="1"/>
  <c r="H26" i="26"/>
  <c r="H24" i="26"/>
  <c r="H22" i="26"/>
  <c r="H18" i="26"/>
  <c r="H23" i="26"/>
  <c r="H14" i="26"/>
  <c r="H13" i="26"/>
  <c r="H11" i="26"/>
  <c r="H10" i="26"/>
  <c r="H46" i="26"/>
  <c r="H47" i="26" l="1"/>
  <c r="H45" i="26"/>
  <c r="H48" i="26"/>
  <c r="D12" i="40"/>
  <c r="D3" i="26" l="1"/>
  <c r="D6" i="40" l="1"/>
  <c r="D7" i="40"/>
  <c r="D8" i="40"/>
  <c r="D9" i="40"/>
  <c r="D10" i="40"/>
  <c r="D5" i="40"/>
  <c r="C23" i="40"/>
  <c r="E27" i="40" s="1"/>
  <c r="E12" i="40" s="1"/>
  <c r="G9" i="35"/>
  <c r="G10" i="35"/>
  <c r="G11" i="35"/>
  <c r="G12" i="35"/>
  <c r="G13" i="35"/>
  <c r="G15" i="35"/>
  <c r="G16" i="35"/>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5" i="37"/>
  <c r="F17" i="37"/>
  <c r="F18" i="37"/>
  <c r="F19" i="37"/>
  <c r="F20" i="37"/>
  <c r="F21" i="37"/>
  <c r="F22" i="37"/>
  <c r="F23" i="37"/>
  <c r="G14" i="35"/>
  <c r="G8" i="35"/>
  <c r="J30" i="26" l="1"/>
  <c r="J40" i="26"/>
  <c r="E5" i="40"/>
  <c r="E10" i="40"/>
  <c r="E9" i="40"/>
  <c r="J46" i="26" s="1"/>
  <c r="E6" i="40"/>
  <c r="E7" i="40"/>
  <c r="E8" i="40"/>
  <c r="F38" i="37"/>
  <c r="F24" i="37"/>
  <c r="H9" i="37"/>
  <c r="H28" i="37"/>
  <c r="J36" i="26" l="1"/>
  <c r="J32" i="26"/>
  <c r="J37" i="26"/>
  <c r="J34" i="26"/>
  <c r="J35" i="26"/>
  <c r="J43" i="26"/>
  <c r="J19" i="26"/>
  <c r="K19" i="26" s="1"/>
  <c r="J23" i="26"/>
  <c r="J47" i="26"/>
  <c r="J27" i="26"/>
  <c r="J24" i="26"/>
  <c r="J48" i="26"/>
  <c r="J21" i="26"/>
  <c r="K21" i="26" s="1"/>
  <c r="J17" i="26"/>
  <c r="K17" i="26" s="1"/>
  <c r="J22" i="26"/>
  <c r="J26" i="26"/>
  <c r="J18" i="26"/>
  <c r="J12" i="26"/>
  <c r="K12" i="26" s="1"/>
  <c r="J41" i="26"/>
  <c r="J20" i="26"/>
  <c r="K20" i="26" s="1"/>
  <c r="J13" i="26"/>
  <c r="J14" i="26"/>
  <c r="J10" i="26"/>
  <c r="J11" i="26"/>
  <c r="G3" i="35"/>
  <c r="D2" i="26" s="1"/>
  <c r="D4" i="26" s="1"/>
  <c r="F31" i="26" s="1"/>
  <c r="F32" i="26" s="1"/>
  <c r="F29" i="26" l="1"/>
  <c r="F39" i="26"/>
  <c r="K32" i="26"/>
  <c r="K31" i="26" s="1"/>
  <c r="K22" i="26"/>
  <c r="F30" i="26" l="1"/>
  <c r="K30" i="26" s="1"/>
  <c r="K29" i="26" s="1"/>
  <c r="F40" i="26"/>
  <c r="F41" i="26"/>
  <c r="K18" i="26"/>
  <c r="K27" i="26"/>
  <c r="K23" i="26"/>
  <c r="K48" i="26"/>
  <c r="K47" i="26"/>
  <c r="K26" i="26"/>
  <c r="K24" i="26"/>
  <c r="K46" i="26"/>
  <c r="K25" i="26" l="1"/>
  <c r="K16" i="26"/>
  <c r="K44" i="26"/>
  <c r="K14" i="26"/>
  <c r="K15" i="26" l="1"/>
  <c r="K13" i="26"/>
  <c r="K11" i="26"/>
  <c r="K10" i="26"/>
  <c r="K9" i="26" l="1"/>
  <c r="K35" i="26"/>
  <c r="K37" i="26"/>
  <c r="K36" i="26"/>
  <c r="K34" i="26"/>
  <c r="K41" i="26"/>
  <c r="F28" i="26"/>
  <c r="K40" i="26"/>
  <c r="K33" i="26" l="1"/>
  <c r="K39" i="26"/>
  <c r="F7" i="26"/>
  <c r="K43" i="26"/>
  <c r="K42" i="26" s="1"/>
  <c r="K28" i="26" l="1"/>
  <c r="K51" i="26" s="1"/>
  <c r="E31" i="26"/>
  <c r="E42" i="26"/>
  <c r="E29" i="26"/>
  <c r="E15" i="26"/>
  <c r="E44" i="26"/>
  <c r="E9" i="26"/>
  <c r="E39" i="26"/>
  <c r="K57" i="26" l="1"/>
  <c r="E28" i="26"/>
</calcChain>
</file>

<file path=xl/comments1.xml><?xml version="1.0" encoding="utf-8"?>
<comments xmlns="http://schemas.openxmlformats.org/spreadsheetml/2006/main">
  <authors>
    <author>Pablo A. De Ninnis</author>
    <author>Ra Acosta</author>
  </authors>
  <commentList>
    <comment ref="D8" authorId="0">
      <text>
        <r>
          <rPr>
            <b/>
            <sz val="8"/>
            <color indexed="81"/>
            <rFont val="Tahoma"/>
            <family val="2"/>
          </rPr>
          <t>Tamaño</t>
        </r>
      </text>
    </comment>
    <comment ref="F8" authorId="1">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<sst xmlns="http://schemas.openxmlformats.org/spreadsheetml/2006/main" count="351" uniqueCount="202">
  <si>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</si>
  <si>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</si>
  <si>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</si>
  <si>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</si>
  <si>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</si>
  <si>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</si>
  <si>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</si>
  <si>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</si>
  <si>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</si>
  <si>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</si>
  <si>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</si>
  <si>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</si>
  <si>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</si>
  <si>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</si>
  <si>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</si>
  <si>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</si>
  <si>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</si>
  <si>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</si>
  <si>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</si>
  <si>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</si>
  <si>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</si>
  <si>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</si>
  <si>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</si>
  <si>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</si>
  <si>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</si>
  <si>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</si>
  <si>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</si>
  <si>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</si>
  <si>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</si>
  <si>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</si>
  <si>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</si>
  <si>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</si>
  <si>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</si>
  <si>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</si>
  <si>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</si>
  <si>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</si>
  <si>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</si>
  <si>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</si>
  <si>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</si>
  <si>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</si>
  <si>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</si>
  <si>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</si>
  <si>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</si>
  <si>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</si>
  <si>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</si>
  <si>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</si>
  <si>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</si>
  <si>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</si>
  <si>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</si>
  <si>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</si>
  <si>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</si>
  <si>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</si>
  <si>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</si>
  <si>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</si>
  <si>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</si>
  <si>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</si>
  <si>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</si>
  <si>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</si>
  <si>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</si>
  <si>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</si>
  <si>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</si>
  <si>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</si>
  <si>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</si>
  <si>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</si>
  <si>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</si>
  <si>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</si>
  <si>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</si>
  <si>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</si>
  <si>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</si>
  <si>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</si>
  <si>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</si>
  <si>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</si>
  <si>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</si>
  <si>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Codificación</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</si>
  <si>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</si>
  <si>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</si>
  <si>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</si>
  <si>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</si>
  <si>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</si>
  <si>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</si>
  <si>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</si>
  <si>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</si>
  <si>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</si>
  <si>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</si>
  <si>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</si>
  <si>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</si>
  <si>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</si>
  <si>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</si>
  <si>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</si>
  <si>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</si>
  <si>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</si>
  <si>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</si>
  <si>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</si>
  <si>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</si>
  <si>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</si>
  <si>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</si>
  <si>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</si>
  <si>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</si>
  <si>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</si>
  <si>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</si>
  <si>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</si>
  <si>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</si>
  <si>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</si>
  <si>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</si>
  <si>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</si>
  <si>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</si>
  <si>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</si>
  <si>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</si>
  <si>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</si>
  <si>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</si>
  <si>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</si>
  <si>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</si>
  <si>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</si>
  <si>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</si>
  <si>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</si>
  <si>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</si>
  <si>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</si>
  <si>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Generación del documento de análisis y diseño</t>
  </si>
  <si>
    <t>Ejecución de los casos de prueba</t>
  </si>
  <si>
    <t>Generación de documentos para el cierre del proyecto</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</si>
  <si>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</si>
  <si>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</si>
  <si>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</si>
  <si>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</si>
  <si>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</si>
  <si>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</si>
  <si>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</si>
  <si>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</si>
  <si>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</si>
  <si>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</si>
  <si>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</si>
  <si>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</si>
  <si>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</si>
  <si>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</si>
  <si>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</si>
  <si>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</si>
  <si>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</si>
  <si>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</si>
  <si>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</si>
  <si>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</si>
  <si>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</si>
  <si>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</si>
  <si>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</si>
  <si>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</si>
  <si>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</si>
  <si>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</si>
  <si>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</si>
  <si>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</si>
  <si>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</si>
  <si>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</si>
  <si>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</si>
  <si>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</si>
  <si>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</si>
  <si>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</si>
  <si>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</si>
  <si>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</si>
  <si>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Diseño gráfico de la página</t>
  </si>
  <si>
    <t>Costo del diseño</t>
  </si>
  <si>
    <t>Cotización costos de proveedores</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</si>
  <si>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</si>
  <si>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</si>
  <si>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</si>
  <si>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</si>
  <si>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</si>
  <si>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</si>
  <si>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</si>
  <si>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</si>
  <si>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</si>
  <si>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</si>
  <si>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</si>
  <si>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</si>
  <si>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</si>
  <si>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</si>
  <si>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</si>
  <si>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Costo de Analisis y Diseño</t>
  </si>
  <si>
    <t>Existen 8 factores ambientales estándar para estimar el impacto en la productividad de diversas cuestiones ambientales que tienen en una aplicación</t>
  </si>
  <si>
    <t>Validación de requerimientos</t>
  </si>
  <si>
    <t>Reunión con proveedor para firma de convenio y kick-off</t>
  </si>
  <si>
    <t>Reunión con proveedor para presentar requerimientos de diseño</t>
  </si>
  <si>
    <t>Desarrollador</t>
  </si>
  <si>
    <t>Aseguramiento de la calidad</t>
  </si>
  <si>
    <t xml:space="preserve">Reunión de monitoreo para recepción de información del diseño </t>
  </si>
  <si>
    <t>Administrador de la configuración</t>
  </si>
  <si>
    <t>2</t>
  </si>
  <si>
    <t>Visualizand pagina de inicio</t>
  </si>
  <si>
    <t>Navegando el sitio web</t>
  </si>
  <si>
    <t>Consultando sección Empresa</t>
  </si>
  <si>
    <t>Consultando sección Productos</t>
  </si>
  <si>
    <t>Consultando sección Proyectos</t>
  </si>
  <si>
    <t>Consultando sección Bolsa de Trabajo</t>
  </si>
  <si>
    <t>Consultando sección Intranet</t>
  </si>
  <si>
    <t>Ingresar al modulo de administración</t>
  </si>
  <si>
    <t>Administrando sección Inicio</t>
  </si>
  <si>
    <t>Administrando sección Empresa</t>
  </si>
  <si>
    <t>Administrando sección Productos</t>
  </si>
  <si>
    <t>Administrando sección Proyectos</t>
  </si>
  <si>
    <t>Administrando sección Bolsa de Trabajo</t>
  </si>
  <si>
    <t>Administrando sección Contacto</t>
  </si>
  <si>
    <t>Intermedio</t>
  </si>
  <si>
    <t>Si</t>
  </si>
  <si>
    <t>Corrección de los defectos</t>
  </si>
  <si>
    <t>Verificación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</si>
</sst>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6"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bgColor indexed="64"/>
      </patternFill>
    </fill>
    <fill>
      <patternFill patternType="solid">
        <fgColor theme="2" tint="-0.749992370372631"/>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3" tint="-0.499984740745262"/>
        <bgColor indexed="64"/>
      </patternFill>
    </fill>
    <fill>
      <patternFill patternType="solid">
        <fgColor theme="2" tint="-9.9978637043366805E-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27" fillId="0" borderId="0" applyFont="0" applyFill="0" applyBorder="0" applyAlignment="0" applyProtection="0"/>
  </cellStyleXfs>
  <cellXfs count="254">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2" xfId="0" applyFont="1" applyBorder="1" applyAlignment="1">
      <alignment horizontal="center"/>
    </xf>
    <xf numFmtId="0" fontId="8" fillId="0" borderId="3" xfId="0" applyFont="1" applyBorder="1"/>
    <xf numFmtId="1" fontId="8" fillId="0" borderId="3" xfId="0" applyNumberFormat="1" applyFont="1" applyBorder="1" applyAlignment="1">
      <alignment horizontal="center"/>
    </xf>
    <xf numFmtId="0" fontId="8" fillId="0" borderId="5" xfId="0" applyFont="1" applyBorder="1" applyAlignment="1">
      <alignment horizontal="center"/>
    </xf>
    <xf numFmtId="1" fontId="8" fillId="0" borderId="0" xfId="0" applyNumberFormat="1" applyFont="1" applyBorder="1" applyAlignment="1">
      <alignment horizontal="center"/>
    </xf>
    <xf numFmtId="0" fontId="8" fillId="0" borderId="7" xfId="0" applyFont="1" applyBorder="1" applyAlignment="1">
      <alignment horizontal="center"/>
    </xf>
    <xf numFmtId="0" fontId="8" fillId="0" borderId="8" xfId="0" applyFont="1" applyBorder="1"/>
    <xf numFmtId="1" fontId="8" fillId="0" borderId="8" xfId="0" applyNumberFormat="1" applyFont="1" applyBorder="1" applyAlignment="1">
      <alignment horizontal="center"/>
    </xf>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19" fillId="4" borderId="0" xfId="0" applyFont="1" applyFill="1"/>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9" fillId="0" borderId="0" xfId="0" applyFont="1" applyFill="1" applyBorder="1" applyAlignment="1">
      <alignment horizontal="left"/>
    </xf>
    <xf numFmtId="0" fontId="25" fillId="2" borderId="5" xfId="0" applyNumberFormat="1" applyFont="1" applyFill="1" applyBorder="1" applyAlignment="1">
      <alignment horizontal="center"/>
    </xf>
    <xf numFmtId="0" fontId="30" fillId="0" borderId="0" xfId="0" applyFont="1"/>
    <xf numFmtId="0" fontId="18" fillId="7" borderId="0" xfId="0" applyFont="1" applyFill="1"/>
    <xf numFmtId="0" fontId="18" fillId="7" borderId="0" xfId="0" applyFont="1" applyFill="1" applyAlignment="1">
      <alignment vertical="center"/>
    </xf>
    <xf numFmtId="0" fontId="19" fillId="7" borderId="0" xfId="0" applyFont="1" applyFill="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8" borderId="14" xfId="0" applyFont="1" applyFill="1" applyBorder="1"/>
    <xf numFmtId="9" fontId="25" fillId="8" borderId="5" xfId="0" applyNumberFormat="1" applyFont="1" applyFill="1" applyBorder="1" applyAlignment="1">
      <alignment horizontal="center"/>
    </xf>
    <xf numFmtId="0" fontId="7" fillId="9" borderId="14" xfId="0" applyFont="1" applyFill="1" applyBorder="1"/>
    <xf numFmtId="3" fontId="25" fillId="9" borderId="5" xfId="0" applyNumberFormat="1" applyFont="1" applyFill="1" applyBorder="1" applyAlignment="1">
      <alignment horizontal="center"/>
    </xf>
    <xf numFmtId="0" fontId="25" fillId="9" borderId="5" xfId="0" applyFont="1" applyFill="1" applyBorder="1" applyAlignment="1">
      <alignment horizontal="center"/>
    </xf>
    <xf numFmtId="164" fontId="26" fillId="9" borderId="5" xfId="0" applyNumberFormat="1" applyFont="1" applyFill="1" applyBorder="1" applyAlignment="1">
      <alignment horizontal="center"/>
    </xf>
    <xf numFmtId="2" fontId="25" fillId="9" borderId="5" xfId="0" applyNumberFormat="1" applyFont="1" applyFill="1" applyBorder="1" applyAlignment="1">
      <alignment horizontal="center"/>
    </xf>
    <xf numFmtId="0" fontId="8" fillId="0" borderId="14" xfId="0" applyFont="1" applyBorder="1"/>
    <xf numFmtId="0" fontId="31" fillId="7" borderId="30" xfId="0" applyFont="1" applyFill="1" applyBorder="1"/>
    <xf numFmtId="0" fontId="0" fillId="0" borderId="31" xfId="0" applyBorder="1"/>
    <xf numFmtId="0" fontId="30" fillId="0" borderId="19" xfId="0" applyFont="1" applyBorder="1"/>
    <xf numFmtId="0" fontId="31" fillId="7" borderId="32" xfId="0" applyFont="1" applyFill="1" applyBorder="1"/>
    <xf numFmtId="0" fontId="32" fillId="7" borderId="30" xfId="0" applyFont="1" applyFill="1" applyBorder="1"/>
    <xf numFmtId="0" fontId="30" fillId="0" borderId="31" xfId="0" applyFont="1" applyBorder="1"/>
    <xf numFmtId="0" fontId="32" fillId="3" borderId="30" xfId="0" applyFont="1" applyFill="1" applyBorder="1"/>
    <xf numFmtId="0" fontId="8" fillId="12" borderId="14" xfId="0" applyFont="1" applyFill="1" applyBorder="1" applyAlignment="1">
      <alignment horizontal="center"/>
    </xf>
    <xf numFmtId="0" fontId="8" fillId="9" borderId="5" xfId="0" applyFont="1" applyFill="1" applyBorder="1" applyAlignment="1">
      <alignment horizontal="center"/>
    </xf>
    <xf numFmtId="0" fontId="25" fillId="8" borderId="5" xfId="0" applyFont="1" applyFill="1" applyBorder="1" applyAlignment="1">
      <alignment horizontal="center"/>
    </xf>
    <xf numFmtId="0" fontId="8"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9"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15" fillId="7" borderId="3" xfId="0" applyFont="1" applyFill="1" applyBorder="1" applyAlignment="1">
      <alignment horizontal="center"/>
    </xf>
    <xf numFmtId="0" fontId="15" fillId="7" borderId="0" xfId="0" applyFont="1" applyFill="1" applyBorder="1" applyAlignment="1">
      <alignment horizontal="center"/>
    </xf>
    <xf numFmtId="0" fontId="15" fillId="7" borderId="8" xfId="0" applyFont="1" applyFill="1" applyBorder="1" applyAlignment="1">
      <alignment horizontal="center"/>
    </xf>
    <xf numFmtId="0" fontId="9" fillId="10" borderId="11" xfId="0" applyFont="1" applyFill="1" applyBorder="1" applyAlignment="1">
      <alignment horizontal="center" wrapText="1"/>
    </xf>
    <xf numFmtId="0" fontId="9" fillId="10" borderId="11" xfId="0" applyFont="1" applyFill="1" applyBorder="1" applyAlignment="1">
      <alignment horizontal="left"/>
    </xf>
    <xf numFmtId="0" fontId="9" fillId="10" borderId="11" xfId="0" applyFont="1" applyFill="1" applyBorder="1" applyAlignment="1">
      <alignment horizontal="center"/>
    </xf>
    <xf numFmtId="0" fontId="10" fillId="10" borderId="9" xfId="0" applyFont="1" applyFill="1" applyBorder="1" applyAlignment="1">
      <alignment horizontal="right"/>
    </xf>
    <xf numFmtId="0" fontId="10" fillId="10" borderId="12" xfId="0" applyFont="1" applyFill="1" applyBorder="1" applyAlignment="1">
      <alignment horizontal="right"/>
    </xf>
    <xf numFmtId="0" fontId="10" fillId="10" borderId="12" xfId="0" applyFont="1" applyFill="1" applyBorder="1" applyAlignment="1">
      <alignment horizontal="center"/>
    </xf>
    <xf numFmtId="0" fontId="10" fillId="10" borderId="10" xfId="0" applyFont="1" applyFill="1" applyBorder="1" applyAlignment="1">
      <alignment horizontal="right"/>
    </xf>
    <xf numFmtId="0" fontId="9" fillId="10" borderId="12" xfId="0" applyFont="1" applyFill="1" applyBorder="1" applyAlignment="1">
      <alignment horizontal="right"/>
    </xf>
    <xf numFmtId="0" fontId="20" fillId="7" borderId="5" xfId="0" applyFont="1" applyFill="1" applyBorder="1" applyAlignment="1">
      <alignment horizontal="center"/>
    </xf>
    <xf numFmtId="0" fontId="23" fillId="7" borderId="0" xfId="0" applyFont="1" applyFill="1" applyBorder="1" applyAlignment="1">
      <alignment horizontal="right"/>
    </xf>
    <xf numFmtId="0" fontId="9" fillId="6" borderId="11" xfId="0" applyFont="1" applyFill="1" applyBorder="1" applyAlignment="1">
      <alignment horizontal="center" wrapText="1"/>
    </xf>
    <xf numFmtId="0" fontId="9" fillId="6" borderId="11" xfId="0" applyFont="1" applyFill="1" applyBorder="1" applyAlignment="1">
      <alignment horizontal="left"/>
    </xf>
    <xf numFmtId="0" fontId="9" fillId="6" borderId="11" xfId="0" applyFont="1" applyFill="1" applyBorder="1" applyAlignment="1">
      <alignment horizontal="center"/>
    </xf>
    <xf numFmtId="0" fontId="10" fillId="6" borderId="9" xfId="0" applyFont="1" applyFill="1" applyBorder="1" applyAlignment="1">
      <alignment horizontal="right"/>
    </xf>
    <xf numFmtId="0" fontId="10" fillId="6" borderId="12" xfId="0" applyFont="1" applyFill="1" applyBorder="1" applyAlignment="1">
      <alignment horizontal="right"/>
    </xf>
    <xf numFmtId="0" fontId="10" fillId="6" borderId="12" xfId="0" applyFont="1" applyFill="1" applyBorder="1" applyAlignment="1">
      <alignment horizontal="center"/>
    </xf>
    <xf numFmtId="0" fontId="10" fillId="6" borderId="10" xfId="0" applyFont="1" applyFill="1" applyBorder="1" applyAlignment="1">
      <alignment horizontal="right"/>
    </xf>
    <xf numFmtId="0" fontId="23" fillId="6" borderId="6" xfId="0" applyFont="1" applyFill="1" applyBorder="1" applyAlignment="1">
      <alignment horizontal="right"/>
    </xf>
    <xf numFmtId="0" fontId="23" fillId="10" borderId="0" xfId="0" applyFont="1" applyFill="1" applyBorder="1" applyAlignment="1">
      <alignment horizontal="right"/>
    </xf>
    <xf numFmtId="0" fontId="23" fillId="11" borderId="0" xfId="0" applyFont="1" applyFill="1" applyBorder="1" applyAlignment="1">
      <alignment horizontal="right"/>
    </xf>
    <xf numFmtId="0" fontId="10" fillId="14" borderId="1" xfId="0" applyFont="1" applyFill="1" applyBorder="1" applyAlignment="1">
      <alignment horizontal="left" wrapText="1"/>
    </xf>
    <xf numFmtId="0" fontId="10" fillId="14" borderId="1" xfId="0" applyFont="1" applyFill="1" applyBorder="1" applyAlignment="1">
      <alignment horizontal="center" wrapText="1"/>
    </xf>
    <xf numFmtId="49" fontId="20" fillId="15" borderId="1" xfId="0" applyNumberFormat="1" applyFont="1" applyFill="1" applyBorder="1" applyAlignment="1">
      <alignment horizontal="center" vertical="center"/>
    </xf>
    <xf numFmtId="0" fontId="35" fillId="13" borderId="1" xfId="0" applyFont="1" applyFill="1" applyBorder="1" applyAlignment="1">
      <alignment horizontal="center"/>
    </xf>
    <xf numFmtId="0" fontId="35" fillId="13" borderId="1" xfId="0" applyFont="1" applyFill="1" applyBorder="1" applyAlignment="1">
      <alignment horizontal="right"/>
    </xf>
    <xf numFmtId="0" fontId="36" fillId="13" borderId="1" xfId="0" applyFont="1" applyFill="1" applyBorder="1" applyAlignment="1">
      <alignment horizontal="right"/>
    </xf>
    <xf numFmtId="3" fontId="36" fillId="13" borderId="1" xfId="0" applyNumberFormat="1" applyFont="1" applyFill="1" applyBorder="1" applyAlignment="1">
      <alignment horizontal="center"/>
    </xf>
    <xf numFmtId="0" fontId="35" fillId="13" borderId="1" xfId="0" applyFont="1" applyFill="1" applyBorder="1" applyAlignment="1">
      <alignment horizontal="left"/>
    </xf>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9" borderId="14" xfId="0" applyFont="1" applyFill="1" applyBorder="1" applyAlignment="1">
      <alignment horizontal="center"/>
    </xf>
    <xf numFmtId="165" fontId="37" fillId="16" borderId="0" xfId="0" applyNumberFormat="1" applyFont="1" applyFill="1"/>
    <xf numFmtId="0" fontId="32" fillId="15" borderId="0" xfId="0" applyFont="1" applyFill="1"/>
    <xf numFmtId="0" fontId="35" fillId="15" borderId="0" xfId="0" applyFont="1" applyFill="1"/>
    <xf numFmtId="165" fontId="33" fillId="15" borderId="0" xfId="0" applyNumberFormat="1" applyFont="1" applyFill="1"/>
    <xf numFmtId="0" fontId="8" fillId="10" borderId="3" xfId="0" applyFont="1" applyFill="1" applyBorder="1" applyAlignment="1">
      <alignment horizontal="center"/>
    </xf>
    <xf numFmtId="0" fontId="8" fillId="10" borderId="0" xfId="0" applyFont="1" applyFill="1" applyBorder="1" applyAlignment="1">
      <alignment horizontal="center"/>
    </xf>
    <xf numFmtId="0" fontId="18" fillId="11" borderId="0" xfId="0" applyFont="1" applyFill="1"/>
    <xf numFmtId="0" fontId="19" fillId="13" borderId="0" xfId="0" applyFont="1" applyFill="1"/>
    <xf numFmtId="0" fontId="9" fillId="0" borderId="0" xfId="0" applyFont="1"/>
    <xf numFmtId="0" fontId="1" fillId="2" borderId="3" xfId="0" applyFont="1" applyFill="1" applyBorder="1"/>
    <xf numFmtId="0" fontId="38" fillId="16" borderId="0" xfId="0" applyFont="1" applyFill="1"/>
    <xf numFmtId="165" fontId="33" fillId="10" borderId="0" xfId="0" applyNumberFormat="1" applyFont="1" applyFill="1"/>
    <xf numFmtId="165" fontId="33" fillId="16" borderId="0" xfId="0" applyNumberFormat="1" applyFont="1" applyFill="1"/>
    <xf numFmtId="0" fontId="36" fillId="10" borderId="0" xfId="0" applyFont="1" applyFill="1"/>
    <xf numFmtId="0" fontId="8" fillId="10" borderId="0" xfId="0"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9" borderId="5" xfId="1" applyFont="1" applyFill="1" applyBorder="1" applyAlignment="1">
      <alignment horizontal="center"/>
    </xf>
    <xf numFmtId="9" fontId="25" fillId="2" borderId="5" xfId="1" applyFont="1" applyFill="1" applyBorder="1" applyAlignment="1">
      <alignment horizontal="center"/>
    </xf>
    <xf numFmtId="1" fontId="25" fillId="9" borderId="0" xfId="0" applyNumberFormat="1" applyFont="1" applyFill="1" applyBorder="1" applyAlignment="1">
      <alignment horizontal="center"/>
    </xf>
    <xf numFmtId="49" fontId="9" fillId="8" borderId="0" xfId="0" applyNumberFormat="1" applyFont="1" applyFill="1" applyBorder="1" applyAlignment="1">
      <alignment horizontal="left"/>
    </xf>
    <xf numFmtId="0" fontId="9" fillId="9" borderId="2" xfId="0" applyFont="1" applyFill="1" applyBorder="1" applyAlignment="1">
      <alignment horizontal="right"/>
    </xf>
    <xf numFmtId="1" fontId="9" fillId="8" borderId="4" xfId="0" applyNumberFormat="1" applyFont="1" applyFill="1" applyBorder="1" applyAlignment="1">
      <alignment horizontal="left"/>
    </xf>
    <xf numFmtId="0" fontId="9" fillId="9" borderId="5" xfId="0" applyFont="1" applyFill="1" applyBorder="1" applyAlignment="1">
      <alignment horizontal="right"/>
    </xf>
    <xf numFmtId="49" fontId="9" fillId="8" borderId="6" xfId="0" applyNumberFormat="1" applyFont="1" applyFill="1" applyBorder="1" applyAlignment="1">
      <alignment horizontal="left"/>
    </xf>
    <xf numFmtId="0" fontId="9" fillId="9" borderId="7" xfId="0" applyFont="1" applyFill="1" applyBorder="1" applyAlignment="1">
      <alignment horizontal="right"/>
    </xf>
    <xf numFmtId="49" fontId="9" fillId="8" borderId="13" xfId="0" applyNumberFormat="1" applyFont="1" applyFill="1" applyBorder="1" applyAlignment="1">
      <alignment horizontal="left"/>
    </xf>
    <xf numFmtId="1" fontId="9" fillId="8" borderId="3" xfId="0" applyNumberFormat="1" applyFont="1" applyFill="1" applyBorder="1" applyAlignment="1">
      <alignment horizontal="left"/>
    </xf>
    <xf numFmtId="49" fontId="9" fillId="8"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9"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30" fillId="9" borderId="6" xfId="0" applyNumberFormat="1" applyFont="1" applyFill="1" applyBorder="1"/>
    <xf numFmtId="165" fontId="8" fillId="0" borderId="6" xfId="0" applyNumberFormat="1" applyFont="1" applyBorder="1"/>
    <xf numFmtId="165" fontId="30" fillId="8" borderId="6" xfId="0" applyNumberFormat="1" applyFont="1" applyFill="1" applyBorder="1"/>
    <xf numFmtId="165" fontId="8" fillId="2" borderId="6" xfId="0" applyNumberFormat="1" applyFont="1" applyFill="1" applyBorder="1"/>
    <xf numFmtId="165" fontId="0" fillId="0" borderId="34" xfId="0" applyNumberFormat="1" applyFill="1" applyBorder="1"/>
    <xf numFmtId="0" fontId="31" fillId="7" borderId="26" xfId="0" applyFon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7" borderId="14" xfId="0" applyFont="1" applyFill="1" applyBorder="1"/>
    <xf numFmtId="0" fontId="25" fillId="17" borderId="5" xfId="0" applyFont="1" applyFill="1" applyBorder="1" applyAlignment="1">
      <alignment horizontal="center"/>
    </xf>
    <xf numFmtId="0" fontId="7" fillId="17" borderId="6" xfId="0" applyFont="1" applyFill="1" applyBorder="1"/>
    <xf numFmtId="1" fontId="25" fillId="17" borderId="5" xfId="0" applyNumberFormat="1" applyFont="1" applyFill="1" applyBorder="1" applyAlignment="1">
      <alignment horizontal="center"/>
    </xf>
    <xf numFmtId="0" fontId="25" fillId="17" borderId="5" xfId="0" applyNumberFormat="1" applyFont="1" applyFill="1" applyBorder="1" applyAlignment="1">
      <alignment horizontal="center"/>
    </xf>
    <xf numFmtId="165" fontId="8" fillId="17" borderId="6" xfId="0" applyNumberFormat="1" applyFont="1" applyFill="1" applyBorder="1"/>
    <xf numFmtId="1" fontId="25" fillId="17" borderId="14" xfId="0" applyNumberFormat="1" applyFont="1" applyFill="1" applyBorder="1" applyAlignment="1">
      <alignment horizontal="center"/>
    </xf>
    <xf numFmtId="0" fontId="25" fillId="17" borderId="6" xfId="0" applyNumberFormat="1" applyFont="1" applyFill="1" applyBorder="1" applyAlignment="1">
      <alignment horizontal="center"/>
    </xf>
    <xf numFmtId="165" fontId="30" fillId="11" borderId="6" xfId="0" applyNumberFormat="1" applyFont="1" applyFill="1" applyBorder="1"/>
    <xf numFmtId="165" fontId="8" fillId="11" borderId="0" xfId="0" applyNumberFormat="1" applyFont="1" applyFill="1"/>
    <xf numFmtId="0" fontId="42" fillId="11" borderId="5" xfId="0" applyFont="1" applyFill="1" applyBorder="1" applyAlignment="1">
      <alignment horizontal="center"/>
    </xf>
    <xf numFmtId="0" fontId="42" fillId="11" borderId="14" xfId="0" applyFont="1" applyFill="1" applyBorder="1"/>
    <xf numFmtId="0" fontId="43" fillId="11" borderId="5" xfId="0" applyFont="1" applyFill="1" applyBorder="1" applyAlignment="1">
      <alignment horizontal="center"/>
    </xf>
    <xf numFmtId="9" fontId="43" fillId="11" borderId="5" xfId="1" applyFont="1" applyFill="1" applyBorder="1" applyAlignment="1">
      <alignment horizontal="center"/>
    </xf>
    <xf numFmtId="1" fontId="43" fillId="11" borderId="0" xfId="0" applyNumberFormat="1" applyFont="1" applyFill="1" applyBorder="1" applyAlignment="1">
      <alignment horizontal="center"/>
    </xf>
    <xf numFmtId="0" fontId="44" fillId="11" borderId="5" xfId="0" applyFont="1" applyFill="1" applyBorder="1" applyAlignment="1">
      <alignment horizontal="center"/>
    </xf>
    <xf numFmtId="164" fontId="45" fillId="11" borderId="5" xfId="0" applyNumberFormat="1" applyFont="1" applyFill="1" applyBorder="1" applyAlignment="1">
      <alignment horizontal="center"/>
    </xf>
    <xf numFmtId="3" fontId="43" fillId="11" borderId="5" xfId="0" applyNumberFormat="1" applyFont="1" applyFill="1" applyBorder="1" applyAlignment="1">
      <alignment horizontal="center"/>
    </xf>
    <xf numFmtId="9" fontId="43" fillId="11" borderId="5" xfId="0" applyNumberFormat="1" applyFont="1" applyFill="1" applyBorder="1" applyAlignment="1">
      <alignment horizontal="center"/>
    </xf>
    <xf numFmtId="0" fontId="44" fillId="11" borderId="14" xfId="0" applyFont="1" applyFill="1" applyBorder="1" applyAlignment="1">
      <alignment horizontal="center"/>
    </xf>
    <xf numFmtId="2" fontId="43" fillId="11" borderId="0" xfId="0" applyNumberFormat="1" applyFont="1" applyFill="1" applyBorder="1" applyAlignment="1">
      <alignment horizontal="center"/>
    </xf>
    <xf numFmtId="9" fontId="45" fillId="11" borderId="5" xfId="1" applyFont="1" applyFill="1" applyBorder="1" applyAlignment="1">
      <alignment horizontal="center"/>
    </xf>
    <xf numFmtId="9" fontId="43" fillId="11" borderId="12" xfId="0" applyNumberFormat="1" applyFont="1" applyFill="1" applyBorder="1" applyAlignment="1">
      <alignment horizontal="center"/>
    </xf>
    <xf numFmtId="0" fontId="42" fillId="11" borderId="15" xfId="0" applyFont="1" applyFill="1" applyBorder="1" applyAlignment="1">
      <alignment horizontal="center"/>
    </xf>
    <xf numFmtId="0" fontId="42" fillId="11" borderId="13" xfId="0" applyFont="1" applyFill="1" applyBorder="1"/>
    <xf numFmtId="0" fontId="43" fillId="11" borderId="15" xfId="0" applyFont="1" applyFill="1" applyBorder="1" applyAlignment="1">
      <alignment horizontal="center"/>
    </xf>
    <xf numFmtId="0" fontId="44" fillId="11" borderId="15" xfId="0" applyFont="1" applyFill="1" applyBorder="1" applyAlignment="1">
      <alignment horizontal="center"/>
    </xf>
    <xf numFmtId="1" fontId="43" fillId="11" borderId="15" xfId="0" applyNumberFormat="1" applyFont="1" applyFill="1" applyBorder="1" applyAlignment="1">
      <alignment horizontal="center"/>
    </xf>
    <xf numFmtId="0" fontId="43" fillId="11" borderId="15" xfId="0" applyNumberFormat="1" applyFont="1" applyFill="1" applyBorder="1" applyAlignment="1">
      <alignment horizontal="center"/>
    </xf>
    <xf numFmtId="9" fontId="43" fillId="11" borderId="7" xfId="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7"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0" fontId="5" fillId="0" borderId="1" xfId="0" applyFont="1" applyBorder="1" applyAlignment="1">
      <alignment horizontal="left"/>
    </xf>
    <xf numFmtId="1" fontId="25" fillId="2" borderId="0" xfId="0" applyNumberFormat="1" applyFont="1" applyFill="1" applyBorder="1" applyAlignment="1">
      <alignment horizontal="center"/>
    </xf>
    <xf numFmtId="0" fontId="18" fillId="11" borderId="0" xfId="0" applyFont="1" applyFill="1" applyAlignment="1">
      <alignment horizontal="center" vertical="center"/>
    </xf>
    <xf numFmtId="0" fontId="18" fillId="13" borderId="0" xfId="0" applyFont="1" applyFill="1" applyAlignment="1">
      <alignment horizontal="center"/>
    </xf>
    <xf numFmtId="0" fontId="6" fillId="0" borderId="0" xfId="0" applyFont="1" applyFill="1" applyBorder="1" applyAlignment="1">
      <alignment horizontal="left" vertical="center" wrapText="1"/>
    </xf>
    <xf numFmtId="0" fontId="8" fillId="0" borderId="0" xfId="0" applyFont="1" applyAlignment="1">
      <alignment horizontal="left" vertical="center"/>
    </xf>
    <xf numFmtId="164" fontId="8" fillId="0" borderId="0" xfId="0" applyNumberFormat="1" applyFont="1" applyBorder="1" applyAlignment="1">
      <alignment horizontal="left" wrapText="1"/>
    </xf>
    <xf numFmtId="164" fontId="8" fillId="0" borderId="6" xfId="0" applyNumberFormat="1" applyFont="1" applyBorder="1" applyAlignment="1">
      <alignment horizontal="left" wrapText="1"/>
    </xf>
    <xf numFmtId="0" fontId="24" fillId="11" borderId="2" xfId="0" applyFont="1" applyFill="1" applyBorder="1" applyAlignment="1">
      <alignment horizontal="center"/>
    </xf>
    <xf numFmtId="0" fontId="24" fillId="11" borderId="3" xfId="0" applyFont="1" applyFill="1" applyBorder="1" applyAlignment="1">
      <alignment horizontal="center"/>
    </xf>
    <xf numFmtId="0" fontId="24" fillId="11" borderId="4" xfId="0" applyFont="1" applyFill="1" applyBorder="1" applyAlignment="1">
      <alignment horizontal="center"/>
    </xf>
    <xf numFmtId="0" fontId="9" fillId="10" borderId="9" xfId="0" applyFont="1" applyFill="1" applyBorder="1" applyAlignment="1">
      <alignment horizontal="center"/>
    </xf>
    <xf numFmtId="0" fontId="9" fillId="10" borderId="10" xfId="0" applyFont="1" applyFill="1" applyBorder="1" applyAlignment="1">
      <alignment horizontal="center"/>
    </xf>
    <xf numFmtId="164" fontId="8" fillId="0" borderId="3" xfId="0" applyNumberFormat="1" applyFont="1" applyBorder="1" applyAlignment="1">
      <alignment horizontal="left" wrapText="1"/>
    </xf>
    <xf numFmtId="164" fontId="8" fillId="0" borderId="4" xfId="0" applyNumberFormat="1" applyFont="1" applyBorder="1" applyAlignment="1">
      <alignment horizontal="left" wrapText="1"/>
    </xf>
    <xf numFmtId="0" fontId="24" fillId="7" borderId="2" xfId="0" applyFont="1" applyFill="1" applyBorder="1" applyAlignment="1">
      <alignment horizontal="center"/>
    </xf>
    <xf numFmtId="0" fontId="24" fillId="7" borderId="3" xfId="0" applyFont="1" applyFill="1" applyBorder="1" applyAlignment="1">
      <alignment horizontal="center"/>
    </xf>
    <xf numFmtId="0" fontId="24" fillId="7" borderId="4" xfId="0" applyFont="1" applyFill="1" applyBorder="1" applyAlignment="1">
      <alignment horizontal="center"/>
    </xf>
    <xf numFmtId="0" fontId="9" fillId="6" borderId="9" xfId="0" applyFont="1" applyFill="1" applyBorder="1" applyAlignment="1">
      <alignment horizontal="center"/>
    </xf>
    <xf numFmtId="0" fontId="9" fillId="6" borderId="10" xfId="0" applyFont="1" applyFill="1" applyBorder="1" applyAlignment="1">
      <alignment horizontal="center"/>
    </xf>
    <xf numFmtId="0" fontId="20" fillId="15" borderId="9" xfId="0" applyNumberFormat="1" applyFont="1" applyFill="1" applyBorder="1" applyAlignment="1">
      <alignment horizontal="center" vertical="center"/>
    </xf>
    <xf numFmtId="0" fontId="20" fillId="15" borderId="10" xfId="0" applyNumberFormat="1" applyFont="1" applyFill="1" applyBorder="1" applyAlignment="1">
      <alignment horizontal="center" vertical="center"/>
    </xf>
    <xf numFmtId="0" fontId="10" fillId="14" borderId="2" xfId="0" applyFont="1" applyFill="1" applyBorder="1" applyAlignment="1">
      <alignment horizontal="center"/>
    </xf>
    <xf numFmtId="0" fontId="10" fillId="14" borderId="4" xfId="0" applyFont="1" applyFill="1" applyBorder="1" applyAlignment="1">
      <alignment horizontal="center"/>
    </xf>
    <xf numFmtId="0" fontId="9" fillId="14" borderId="9" xfId="0" applyFont="1" applyFill="1" applyBorder="1" applyAlignment="1">
      <alignment horizontal="left" vertical="center" wrapText="1"/>
    </xf>
    <xf numFmtId="0" fontId="9" fillId="14" borderId="10" xfId="0" applyFont="1" applyFill="1" applyBorder="1" applyAlignment="1">
      <alignment horizontal="left" vertical="center" wrapText="1"/>
    </xf>
    <xf numFmtId="0" fontId="10" fillId="14" borderId="5" xfId="0" applyFont="1" applyFill="1" applyBorder="1" applyAlignment="1">
      <alignment horizontal="center"/>
    </xf>
    <xf numFmtId="0" fontId="10" fillId="14" borderId="0" xfId="0" applyFont="1" applyFill="1" applyBorder="1" applyAlignment="1">
      <alignment horizontal="center"/>
    </xf>
    <xf numFmtId="0" fontId="9" fillId="14" borderId="12" xfId="0" applyFont="1" applyFill="1" applyBorder="1" applyAlignment="1">
      <alignment horizontal="left" vertical="center" wrapText="1"/>
    </xf>
    <xf numFmtId="0" fontId="16" fillId="7" borderId="1" xfId="0" applyFont="1" applyFill="1" applyBorder="1" applyAlignment="1">
      <alignment horizontal="center"/>
    </xf>
    <xf numFmtId="0" fontId="41" fillId="11" borderId="5" xfId="0" applyFont="1" applyFill="1" applyBorder="1" applyAlignment="1">
      <alignment horizontal="center" vertical="center"/>
    </xf>
    <xf numFmtId="0" fontId="41" fillId="11" borderId="0" xfId="0" applyFont="1" applyFill="1" applyBorder="1" applyAlignment="1">
      <alignment horizontal="center" vertical="center"/>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33" fillId="6" borderId="0" xfId="0" applyFont="1" applyFill="1" applyAlignment="1">
      <alignment horizontal="center" vertical="center" wrapText="1"/>
    </xf>
    <xf numFmtId="0" fontId="41" fillId="11" borderId="5" xfId="0" applyFont="1" applyFill="1" applyBorder="1" applyAlignment="1">
      <alignment horizontal="center" vertical="center" wrapText="1"/>
    </xf>
    <xf numFmtId="0" fontId="41" fillId="11" borderId="0" xfId="0" applyFont="1" applyFill="1" applyBorder="1" applyAlignment="1">
      <alignment horizontal="center" vertical="center" wrapText="1"/>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xf numFmtId="0" fontId="34" fillId="9" borderId="5" xfId="0" applyFont="1" applyFill="1" applyBorder="1" applyAlignment="1">
      <alignment horizontal="center" vertical="center"/>
    </xf>
    <xf numFmtId="0" fontId="34" fillId="9" borderId="0" xfId="0" applyFont="1" applyFill="1" applyBorder="1" applyAlignment="1">
      <alignment horizontal="center" vertical="center"/>
    </xf>
  </cellXfs>
  <cellStyles count="2">
    <cellStyle name="Normal" xfId="0" builtinId="0"/>
    <cellStyle name="Porcentaje" xfId="1" builtinId="5"/>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topLeftCell="A22" workbookViewId="0">
      <selection activeCell="C34" sqref="C34"/>
    </sheetView>
  </sheetViews>
  <sheetFormatPr baseColWidth="10" defaultRowHeight="15" x14ac:dyDescent="0.25"/>
  <cols>
    <col min="1" max="1" width="1.7109375" style="1" customWidth="1"/>
    <col min="2" max="2" width="25.85546875" style="1" customWidth="1"/>
    <col min="3" max="3" width="62" style="1" customWidth="1"/>
    <col min="4" max="16384" width="11.42578125" style="1"/>
  </cols>
  <sheetData>
    <row r="2" spans="1:17" s="26" customFormat="1" ht="26.25" x14ac:dyDescent="0.4">
      <c r="A2" s="138"/>
      <c r="B2" s="213" t="s">
        <v>142</v>
      </c>
      <c r="C2" s="213"/>
      <c r="D2" s="214" t="s">
        <v>143</v>
      </c>
      <c r="E2" s="214"/>
      <c r="F2" s="214"/>
      <c r="G2" s="214"/>
      <c r="H2" s="139"/>
      <c r="I2" s="139"/>
      <c r="J2" s="139"/>
      <c r="K2" s="139"/>
      <c r="L2" s="66"/>
      <c r="M2" s="66"/>
      <c r="N2" s="66"/>
      <c r="O2" s="66"/>
      <c r="P2" s="66"/>
      <c r="Q2" s="66"/>
    </row>
    <row r="4" spans="1:17" s="26" customFormat="1" ht="26.25" x14ac:dyDescent="0.4">
      <c r="A4" s="64"/>
      <c r="B4" s="65" t="s">
        <v>85</v>
      </c>
      <c r="C4" s="64"/>
      <c r="D4" s="64"/>
      <c r="E4" s="64"/>
      <c r="F4" s="64"/>
      <c r="G4" s="66"/>
      <c r="H4" s="66"/>
      <c r="I4" s="66"/>
      <c r="J4" s="66"/>
      <c r="K4" s="66"/>
      <c r="L4" s="66"/>
      <c r="M4" s="66"/>
      <c r="N4" s="66"/>
      <c r="O4" s="66"/>
      <c r="P4" s="66"/>
      <c r="Q4" s="66"/>
    </row>
    <row r="5" spans="1:17" x14ac:dyDescent="0.25">
      <c r="B5" s="1" t="s">
        <v>81</v>
      </c>
    </row>
    <row r="7" spans="1:17" ht="23.25" x14ac:dyDescent="0.35">
      <c r="B7" s="31" t="s">
        <v>78</v>
      </c>
      <c r="C7" s="31" t="s">
        <v>4</v>
      </c>
    </row>
    <row r="8" spans="1:17" ht="75" x14ac:dyDescent="0.25">
      <c r="B8" s="30" t="s">
        <v>9</v>
      </c>
      <c r="C8" s="29" t="s">
        <v>74</v>
      </c>
    </row>
    <row r="9" spans="1:17" ht="75" x14ac:dyDescent="0.25">
      <c r="B9" s="30" t="s">
        <v>68</v>
      </c>
      <c r="C9" s="29" t="s">
        <v>82</v>
      </c>
    </row>
    <row r="10" spans="1:17" ht="75" x14ac:dyDescent="0.25">
      <c r="B10" s="30" t="s">
        <v>69</v>
      </c>
      <c r="C10" s="29" t="s">
        <v>10</v>
      </c>
    </row>
    <row r="12" spans="1:17" s="26" customFormat="1" ht="26.25" x14ac:dyDescent="0.4">
      <c r="A12" s="64"/>
      <c r="B12" s="65" t="s">
        <v>84</v>
      </c>
      <c r="C12" s="64"/>
      <c r="D12" s="64"/>
      <c r="E12" s="64"/>
      <c r="F12" s="64"/>
      <c r="G12" s="66"/>
      <c r="H12" s="66"/>
      <c r="I12" s="66"/>
      <c r="J12" s="66"/>
      <c r="K12" s="66"/>
      <c r="L12" s="66"/>
      <c r="M12" s="66"/>
      <c r="N12" s="66"/>
      <c r="O12" s="66"/>
      <c r="P12" s="66"/>
      <c r="Q12" s="66"/>
    </row>
    <row r="13" spans="1:17" x14ac:dyDescent="0.25">
      <c r="B13" s="3" t="s">
        <v>144</v>
      </c>
    </row>
    <row r="14" spans="1:17" x14ac:dyDescent="0.25">
      <c r="B14" s="3" t="s">
        <v>80</v>
      </c>
    </row>
    <row r="16" spans="1:17" ht="24" thickBot="1" x14ac:dyDescent="0.4">
      <c r="B16" s="31" t="s">
        <v>75</v>
      </c>
      <c r="C16" s="32" t="s">
        <v>4</v>
      </c>
    </row>
    <row r="17" spans="1:256" x14ac:dyDescent="0.25">
      <c r="B17" s="42" t="s">
        <v>23</v>
      </c>
      <c r="C17" s="35" t="s">
        <v>11</v>
      </c>
    </row>
    <row r="18" spans="1:256" x14ac:dyDescent="0.25">
      <c r="B18" s="41" t="s">
        <v>24</v>
      </c>
      <c r="C18" s="36" t="s">
        <v>17</v>
      </c>
    </row>
    <row r="19" spans="1:256" x14ac:dyDescent="0.25">
      <c r="B19" s="41" t="s">
        <v>25</v>
      </c>
      <c r="C19" s="36" t="s">
        <v>18</v>
      </c>
    </row>
    <row r="20" spans="1:256" x14ac:dyDescent="0.25">
      <c r="A20" s="15"/>
      <c r="B20" s="28" t="s">
        <v>26</v>
      </c>
      <c r="C20" s="43" t="s">
        <v>19</v>
      </c>
    </row>
    <row r="21" spans="1:256" x14ac:dyDescent="0.25">
      <c r="A21" s="44"/>
      <c r="B21" s="28" t="s">
        <v>27</v>
      </c>
      <c r="C21" s="40" t="s">
        <v>20</v>
      </c>
    </row>
    <row r="22" spans="1:256" x14ac:dyDescent="0.25">
      <c r="A22" s="15"/>
      <c r="B22" s="28" t="s">
        <v>28</v>
      </c>
      <c r="C22" s="43" t="s">
        <v>12</v>
      </c>
    </row>
    <row r="23" spans="1:256" x14ac:dyDescent="0.25">
      <c r="A23" s="15"/>
      <c r="B23" s="28" t="s">
        <v>29</v>
      </c>
      <c r="C23" s="40" t="s">
        <v>13</v>
      </c>
    </row>
    <row r="24" spans="1:256" x14ac:dyDescent="0.25">
      <c r="A24" s="15"/>
      <c r="B24" s="28" t="s">
        <v>30</v>
      </c>
      <c r="C24" s="43" t="s">
        <v>14</v>
      </c>
    </row>
    <row r="25" spans="1:256" x14ac:dyDescent="0.25">
      <c r="A25" s="15"/>
      <c r="B25" s="28" t="s">
        <v>31</v>
      </c>
      <c r="C25" s="40" t="s">
        <v>71</v>
      </c>
    </row>
    <row r="26" spans="1:256" x14ac:dyDescent="0.25">
      <c r="A26" s="15"/>
      <c r="B26" s="28" t="s">
        <v>32</v>
      </c>
      <c r="C26" s="34" t="s">
        <v>15</v>
      </c>
    </row>
    <row r="27" spans="1:256" x14ac:dyDescent="0.25">
      <c r="A27" s="15"/>
      <c r="B27" s="27" t="s">
        <v>33</v>
      </c>
      <c r="C27" s="34" t="s">
        <v>21</v>
      </c>
      <c r="D27" s="6"/>
    </row>
    <row r="28" spans="1:256" x14ac:dyDescent="0.25">
      <c r="B28" s="38" t="s">
        <v>34</v>
      </c>
      <c r="C28" s="34" t="s">
        <v>76</v>
      </c>
      <c r="D28" s="6"/>
    </row>
    <row r="29" spans="1:256" ht="15.75" thickBot="1" x14ac:dyDescent="0.3">
      <c r="B29" s="39" t="s">
        <v>35</v>
      </c>
      <c r="C29" s="45" t="s">
        <v>22</v>
      </c>
    </row>
    <row r="31" spans="1:256" s="26" customFormat="1" ht="26.25" x14ac:dyDescent="0.4">
      <c r="A31" s="64"/>
      <c r="B31" s="65" t="s">
        <v>83</v>
      </c>
      <c r="C31" s="64"/>
      <c r="D31" s="64"/>
      <c r="E31" s="64"/>
      <c r="F31" s="64"/>
      <c r="G31" s="66"/>
      <c r="H31" s="66"/>
      <c r="I31" s="66"/>
      <c r="J31" s="66"/>
      <c r="K31" s="66"/>
      <c r="L31" s="66"/>
      <c r="M31" s="66"/>
      <c r="N31" s="66"/>
      <c r="O31" s="66"/>
      <c r="P31" s="66"/>
      <c r="Q31" s="66"/>
    </row>
    <row r="32" spans="1:256" x14ac:dyDescent="0.25">
      <c r="A32" s="3"/>
      <c r="B32" s="3" t="s">
        <v>175</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25">
      <c r="A33" s="3"/>
      <c r="B33" s="3" t="s">
        <v>80</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25" thickBot="1" x14ac:dyDescent="0.4">
      <c r="B35" s="46" t="s">
        <v>61</v>
      </c>
      <c r="C35" s="32" t="s">
        <v>4</v>
      </c>
    </row>
    <row r="36" spans="1:256" x14ac:dyDescent="0.25">
      <c r="B36" s="42" t="s">
        <v>40</v>
      </c>
      <c r="C36" s="47" t="s">
        <v>48</v>
      </c>
    </row>
    <row r="37" spans="1:256" x14ac:dyDescent="0.25">
      <c r="B37" s="30" t="s">
        <v>41</v>
      </c>
      <c r="C37" s="34" t="s">
        <v>50</v>
      </c>
    </row>
    <row r="38" spans="1:256" x14ac:dyDescent="0.25">
      <c r="B38" s="37" t="s">
        <v>42</v>
      </c>
      <c r="C38" s="36" t="s">
        <v>51</v>
      </c>
    </row>
    <row r="39" spans="1:256" x14ac:dyDescent="0.25">
      <c r="B39" s="41" t="s">
        <v>43</v>
      </c>
      <c r="C39" s="48" t="s">
        <v>72</v>
      </c>
    </row>
    <row r="40" spans="1:256" x14ac:dyDescent="0.25">
      <c r="B40" s="30" t="s">
        <v>44</v>
      </c>
      <c r="C40" s="34" t="s">
        <v>52</v>
      </c>
    </row>
    <row r="41" spans="1:256" x14ac:dyDescent="0.25">
      <c r="B41" s="37" t="s">
        <v>45</v>
      </c>
      <c r="C41" s="33" t="s">
        <v>53</v>
      </c>
    </row>
    <row r="42" spans="1:256" x14ac:dyDescent="0.25">
      <c r="B42" s="37" t="s">
        <v>46</v>
      </c>
      <c r="C42" s="33" t="s">
        <v>54</v>
      </c>
    </row>
    <row r="43" spans="1:256" ht="15.75" thickBot="1" x14ac:dyDescent="0.3">
      <c r="B43" s="50" t="s">
        <v>47</v>
      </c>
      <c r="C43" s="49"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topLeftCell="A19" zoomScale="80" zoomScaleNormal="80" workbookViewId="0">
      <selection activeCell="G42" sqref="G42:H42"/>
    </sheetView>
  </sheetViews>
  <sheetFormatPr baseColWidth="10" defaultRowHeight="15" x14ac:dyDescent="0.25"/>
  <cols>
    <col min="1" max="1" width="5.28515625" style="1" customWidth="1"/>
    <col min="2" max="2" width="15" style="1" customWidth="1"/>
    <col min="3" max="3" width="59.7109375" style="1" customWidth="1"/>
    <col min="4" max="4" width="13.28515625" style="1" customWidth="1"/>
    <col min="5" max="5" width="10.140625" style="1" customWidth="1"/>
    <col min="6" max="6" width="11.85546875" style="1" customWidth="1"/>
    <col min="7" max="7" width="46.140625" style="1" customWidth="1"/>
    <col min="8" max="8" width="6.7109375" style="1" bestFit="1" customWidth="1"/>
    <col min="9" max="16384" width="11.42578125" style="1"/>
  </cols>
  <sheetData>
    <row r="2" spans="2:11" ht="18.75" x14ac:dyDescent="0.3">
      <c r="B2" s="61" t="s">
        <v>80</v>
      </c>
    </row>
    <row r="3" spans="2:11" ht="33" customHeight="1" x14ac:dyDescent="0.25">
      <c r="B3" s="215" t="s">
        <v>140</v>
      </c>
      <c r="C3" s="215"/>
      <c r="D3" s="215"/>
      <c r="E3" s="215"/>
      <c r="F3" s="215"/>
      <c r="G3" s="215"/>
      <c r="H3" s="215"/>
    </row>
    <row r="4" spans="2:11" x14ac:dyDescent="0.25">
      <c r="B4" s="216" t="s">
        <v>141</v>
      </c>
      <c r="C4" s="216"/>
      <c r="D4" s="216"/>
      <c r="E4" s="216"/>
      <c r="F4" s="216"/>
      <c r="G4" s="216"/>
      <c r="H4" s="216"/>
    </row>
    <row r="5" spans="2:11" x14ac:dyDescent="0.25">
      <c r="B5" s="140"/>
    </row>
    <row r="8" spans="2:11" ht="23.25" x14ac:dyDescent="0.35">
      <c r="B8" s="226" t="s">
        <v>77</v>
      </c>
      <c r="C8" s="227"/>
      <c r="D8" s="227"/>
      <c r="E8" s="227"/>
      <c r="F8" s="227"/>
      <c r="G8" s="227"/>
      <c r="H8" s="228"/>
    </row>
    <row r="9" spans="2:11" ht="18.75" x14ac:dyDescent="0.3">
      <c r="B9" s="107"/>
      <c r="C9" s="108"/>
      <c r="D9" s="108"/>
      <c r="E9" s="108"/>
      <c r="F9" s="108"/>
      <c r="G9" s="108" t="s">
        <v>38</v>
      </c>
      <c r="H9" s="116">
        <f>0.6+(0.01*SUM(F11:F23))</f>
        <v>0.72</v>
      </c>
    </row>
    <row r="10" spans="2:11" ht="30" x14ac:dyDescent="0.25">
      <c r="B10" s="109" t="s">
        <v>61</v>
      </c>
      <c r="C10" s="110" t="s">
        <v>4</v>
      </c>
      <c r="D10" s="111" t="s">
        <v>79</v>
      </c>
      <c r="E10" s="111" t="s">
        <v>3</v>
      </c>
      <c r="F10" s="109" t="s">
        <v>36</v>
      </c>
      <c r="G10" s="229" t="s">
        <v>37</v>
      </c>
      <c r="H10" s="230"/>
    </row>
    <row r="11" spans="2:11" x14ac:dyDescent="0.25">
      <c r="B11" s="7" t="s">
        <v>23</v>
      </c>
      <c r="C11" s="8" t="s">
        <v>11</v>
      </c>
      <c r="D11" s="96">
        <v>2</v>
      </c>
      <c r="E11" s="9">
        <v>0</v>
      </c>
      <c r="F11" s="96">
        <f t="shared" ref="F11:F23" si="0">E11*D11</f>
        <v>0</v>
      </c>
      <c r="G11" s="224"/>
      <c r="H11" s="225"/>
      <c r="K11" s="6"/>
    </row>
    <row r="12" spans="2:11" x14ac:dyDescent="0.25">
      <c r="B12" s="10" t="s">
        <v>24</v>
      </c>
      <c r="C12" s="6" t="s">
        <v>17</v>
      </c>
      <c r="D12" s="97">
        <v>2</v>
      </c>
      <c r="E12" s="11">
        <v>0</v>
      </c>
      <c r="F12" s="97">
        <f t="shared" si="0"/>
        <v>0</v>
      </c>
      <c r="G12" s="217"/>
      <c r="H12" s="218"/>
    </row>
    <row r="13" spans="2:11" x14ac:dyDescent="0.25">
      <c r="B13" s="10" t="s">
        <v>25</v>
      </c>
      <c r="C13" s="6" t="s">
        <v>18</v>
      </c>
      <c r="D13" s="97">
        <v>1</v>
      </c>
      <c r="E13" s="11">
        <v>2</v>
      </c>
      <c r="F13" s="97">
        <f t="shared" si="0"/>
        <v>2</v>
      </c>
      <c r="G13" s="217"/>
      <c r="H13" s="218"/>
    </row>
    <row r="14" spans="2:11" x14ac:dyDescent="0.25">
      <c r="B14" s="10" t="s">
        <v>26</v>
      </c>
      <c r="C14" s="6" t="s">
        <v>19</v>
      </c>
      <c r="D14" s="97">
        <v>1</v>
      </c>
      <c r="E14" s="11">
        <v>0</v>
      </c>
      <c r="F14" s="97">
        <f t="shared" si="0"/>
        <v>0</v>
      </c>
      <c r="G14" s="217"/>
      <c r="H14" s="218"/>
    </row>
    <row r="15" spans="2:11" x14ac:dyDescent="0.25">
      <c r="B15" s="10" t="s">
        <v>27</v>
      </c>
      <c r="C15" s="6" t="s">
        <v>20</v>
      </c>
      <c r="D15" s="97">
        <v>1</v>
      </c>
      <c r="E15" s="11">
        <v>1</v>
      </c>
      <c r="F15" s="97">
        <f t="shared" si="0"/>
        <v>1</v>
      </c>
      <c r="G15" s="217"/>
      <c r="H15" s="218"/>
    </row>
    <row r="16" spans="2:11" x14ac:dyDescent="0.25">
      <c r="B16" s="10" t="s">
        <v>28</v>
      </c>
      <c r="C16" s="6" t="s">
        <v>12</v>
      </c>
      <c r="D16" s="97">
        <v>0.5</v>
      </c>
      <c r="E16" s="11">
        <v>3</v>
      </c>
      <c r="F16" s="97">
        <f t="shared" si="0"/>
        <v>1.5</v>
      </c>
      <c r="G16" s="6"/>
      <c r="H16" s="15"/>
    </row>
    <row r="17" spans="2:8" x14ac:dyDescent="0.25">
      <c r="B17" s="10" t="s">
        <v>29</v>
      </c>
      <c r="C17" s="6" t="s">
        <v>13</v>
      </c>
      <c r="D17" s="97">
        <v>0.5</v>
      </c>
      <c r="E17" s="11">
        <v>3</v>
      </c>
      <c r="F17" s="97">
        <f t="shared" si="0"/>
        <v>1.5</v>
      </c>
      <c r="G17" s="217"/>
      <c r="H17" s="218"/>
    </row>
    <row r="18" spans="2:8" x14ac:dyDescent="0.25">
      <c r="B18" s="10" t="s">
        <v>30</v>
      </c>
      <c r="C18" s="6" t="s">
        <v>14</v>
      </c>
      <c r="D18" s="97">
        <v>2</v>
      </c>
      <c r="E18" s="11">
        <v>2</v>
      </c>
      <c r="F18" s="97">
        <f t="shared" si="0"/>
        <v>4</v>
      </c>
      <c r="G18" s="6"/>
      <c r="H18" s="15"/>
    </row>
    <row r="19" spans="2:8" x14ac:dyDescent="0.25">
      <c r="B19" s="10" t="s">
        <v>31</v>
      </c>
      <c r="C19" s="6" t="s">
        <v>71</v>
      </c>
      <c r="D19" s="97">
        <v>1</v>
      </c>
      <c r="E19" s="11">
        <v>0</v>
      </c>
      <c r="F19" s="97">
        <f t="shared" si="0"/>
        <v>0</v>
      </c>
      <c r="G19" s="217"/>
      <c r="H19" s="218"/>
    </row>
    <row r="20" spans="2:8" x14ac:dyDescent="0.25">
      <c r="B20" s="10" t="s">
        <v>32</v>
      </c>
      <c r="C20" s="6" t="s">
        <v>15</v>
      </c>
      <c r="D20" s="97">
        <v>1</v>
      </c>
      <c r="E20" s="11">
        <v>0</v>
      </c>
      <c r="F20" s="97">
        <f t="shared" si="0"/>
        <v>0</v>
      </c>
      <c r="G20" s="217"/>
      <c r="H20" s="218"/>
    </row>
    <row r="21" spans="2:8" x14ac:dyDescent="0.25">
      <c r="B21" s="10" t="s">
        <v>33</v>
      </c>
      <c r="C21" s="6" t="s">
        <v>21</v>
      </c>
      <c r="D21" s="97">
        <v>1</v>
      </c>
      <c r="E21" s="11">
        <v>1</v>
      </c>
      <c r="F21" s="97">
        <f t="shared" si="0"/>
        <v>1</v>
      </c>
      <c r="G21" s="217"/>
      <c r="H21" s="218"/>
    </row>
    <row r="22" spans="2:8" x14ac:dyDescent="0.25">
      <c r="B22" s="10" t="s">
        <v>34</v>
      </c>
      <c r="C22" s="6" t="s">
        <v>76</v>
      </c>
      <c r="D22" s="97">
        <v>1</v>
      </c>
      <c r="E22" s="11">
        <v>0</v>
      </c>
      <c r="F22" s="97">
        <f t="shared" si="0"/>
        <v>0</v>
      </c>
      <c r="G22" s="217"/>
      <c r="H22" s="218"/>
    </row>
    <row r="23" spans="2:8" x14ac:dyDescent="0.25">
      <c r="B23" s="12" t="s">
        <v>35</v>
      </c>
      <c r="C23" s="13" t="s">
        <v>22</v>
      </c>
      <c r="D23" s="98">
        <v>1</v>
      </c>
      <c r="E23" s="14">
        <v>1</v>
      </c>
      <c r="F23" s="98">
        <f t="shared" si="0"/>
        <v>1</v>
      </c>
      <c r="G23" s="217"/>
      <c r="H23" s="218"/>
    </row>
    <row r="24" spans="2:8" x14ac:dyDescent="0.25">
      <c r="B24" s="112"/>
      <c r="C24" s="113"/>
      <c r="D24" s="113"/>
      <c r="E24" s="113" t="s">
        <v>62</v>
      </c>
      <c r="F24" s="114">
        <f>SUM(F11:F23)</f>
        <v>12</v>
      </c>
      <c r="G24" s="113"/>
      <c r="H24" s="115"/>
    </row>
    <row r="27" spans="2:8" ht="23.25" x14ac:dyDescent="0.35">
      <c r="B27" s="219" t="s">
        <v>39</v>
      </c>
      <c r="C27" s="220"/>
      <c r="D27" s="220"/>
      <c r="E27" s="220"/>
      <c r="F27" s="220"/>
      <c r="G27" s="220"/>
      <c r="H27" s="221"/>
    </row>
    <row r="28" spans="2:8" ht="18.75" x14ac:dyDescent="0.3">
      <c r="B28" s="118"/>
      <c r="C28" s="118"/>
      <c r="D28" s="118"/>
      <c r="E28" s="118"/>
      <c r="F28" s="118"/>
      <c r="G28" s="118" t="s">
        <v>49</v>
      </c>
      <c r="H28" s="117">
        <f>1.4+(-0.03*SUM(F30:F37))</f>
        <v>0.66499999999999992</v>
      </c>
    </row>
    <row r="29" spans="2:8" ht="30" x14ac:dyDescent="0.25">
      <c r="B29" s="99" t="s">
        <v>60</v>
      </c>
      <c r="C29" s="100" t="s">
        <v>4</v>
      </c>
      <c r="D29" s="101" t="s">
        <v>79</v>
      </c>
      <c r="E29" s="101" t="s">
        <v>3</v>
      </c>
      <c r="F29" s="99" t="s">
        <v>36</v>
      </c>
      <c r="G29" s="222" t="s">
        <v>37</v>
      </c>
      <c r="H29" s="223"/>
    </row>
    <row r="30" spans="2:8" x14ac:dyDescent="0.25">
      <c r="B30" s="7" t="s">
        <v>40</v>
      </c>
      <c r="C30" s="141" t="s">
        <v>48</v>
      </c>
      <c r="D30" s="136">
        <v>1.5</v>
      </c>
      <c r="E30" s="9">
        <v>3</v>
      </c>
      <c r="F30" s="136">
        <f t="shared" ref="F30:F37" si="1">E30*D30</f>
        <v>4.5</v>
      </c>
      <c r="G30" s="224"/>
      <c r="H30" s="225"/>
    </row>
    <row r="31" spans="2:8" x14ac:dyDescent="0.25">
      <c r="B31" s="10" t="s">
        <v>41</v>
      </c>
      <c r="C31" s="6" t="s">
        <v>50</v>
      </c>
      <c r="D31" s="137">
        <v>0.5</v>
      </c>
      <c r="E31" s="11">
        <v>5</v>
      </c>
      <c r="F31" s="137">
        <f t="shared" si="1"/>
        <v>2.5</v>
      </c>
      <c r="G31" s="217"/>
      <c r="H31" s="218"/>
    </row>
    <row r="32" spans="2:8" x14ac:dyDescent="0.25">
      <c r="B32" s="10" t="s">
        <v>42</v>
      </c>
      <c r="C32" s="6" t="s">
        <v>51</v>
      </c>
      <c r="D32" s="137">
        <v>1</v>
      </c>
      <c r="E32" s="11">
        <v>1</v>
      </c>
      <c r="F32" s="137">
        <f t="shared" si="1"/>
        <v>1</v>
      </c>
      <c r="G32" s="217"/>
      <c r="H32" s="218"/>
    </row>
    <row r="33" spans="2:8" x14ac:dyDescent="0.25">
      <c r="B33" s="10" t="s">
        <v>43</v>
      </c>
      <c r="C33" s="6" t="s">
        <v>72</v>
      </c>
      <c r="D33" s="137">
        <v>0.5</v>
      </c>
      <c r="E33" s="11">
        <v>3</v>
      </c>
      <c r="F33" s="137">
        <f t="shared" si="1"/>
        <v>1.5</v>
      </c>
      <c r="G33" s="217"/>
      <c r="H33" s="218"/>
    </row>
    <row r="34" spans="2:8" x14ac:dyDescent="0.25">
      <c r="B34" s="10" t="s">
        <v>44</v>
      </c>
      <c r="C34" s="6" t="s">
        <v>52</v>
      </c>
      <c r="D34" s="137">
        <v>1</v>
      </c>
      <c r="E34" s="11">
        <v>5</v>
      </c>
      <c r="F34" s="137">
        <f t="shared" si="1"/>
        <v>5</v>
      </c>
      <c r="G34" s="217"/>
      <c r="H34" s="218"/>
    </row>
    <row r="35" spans="2:8" x14ac:dyDescent="0.25">
      <c r="B35" s="10" t="s">
        <v>45</v>
      </c>
      <c r="C35" s="6" t="s">
        <v>53</v>
      </c>
      <c r="D35" s="137">
        <v>2</v>
      </c>
      <c r="E35" s="11">
        <v>5</v>
      </c>
      <c r="F35" s="137">
        <f t="shared" si="1"/>
        <v>10</v>
      </c>
      <c r="G35" s="6"/>
      <c r="H35" s="15"/>
    </row>
    <row r="36" spans="2:8" x14ac:dyDescent="0.25">
      <c r="B36" s="10" t="s">
        <v>46</v>
      </c>
      <c r="C36" s="6" t="s">
        <v>54</v>
      </c>
      <c r="D36" s="137">
        <v>-1</v>
      </c>
      <c r="E36" s="11">
        <v>2</v>
      </c>
      <c r="F36" s="137">
        <f t="shared" si="1"/>
        <v>-2</v>
      </c>
      <c r="G36" s="217"/>
      <c r="H36" s="218"/>
    </row>
    <row r="37" spans="2:8" x14ac:dyDescent="0.25">
      <c r="B37" s="10" t="s">
        <v>47</v>
      </c>
      <c r="C37" s="6" t="s">
        <v>55</v>
      </c>
      <c r="D37" s="137">
        <v>2</v>
      </c>
      <c r="E37" s="11">
        <v>1</v>
      </c>
      <c r="F37" s="137">
        <f t="shared" si="1"/>
        <v>2</v>
      </c>
      <c r="G37" s="6"/>
      <c r="H37" s="15"/>
    </row>
    <row r="38" spans="2:8" x14ac:dyDescent="0.25">
      <c r="B38" s="102"/>
      <c r="C38" s="106"/>
      <c r="D38" s="103"/>
      <c r="E38" s="106" t="s">
        <v>63</v>
      </c>
      <c r="F38" s="104">
        <f>SUM(F30:F37)</f>
        <v>24.5</v>
      </c>
      <c r="G38" s="103"/>
      <c r="H38" s="105"/>
    </row>
    <row r="40" spans="2:8" x14ac:dyDescent="0.25">
      <c r="B40" s="233" t="s">
        <v>65</v>
      </c>
      <c r="C40" s="234"/>
      <c r="F40" s="237" t="s">
        <v>66</v>
      </c>
      <c r="G40" s="238"/>
      <c r="H40" s="238"/>
    </row>
    <row r="41" spans="2:8" ht="60" customHeight="1" x14ac:dyDescent="0.25">
      <c r="B41" s="235" t="s">
        <v>138</v>
      </c>
      <c r="C41" s="236"/>
      <c r="F41" s="235" t="s">
        <v>139</v>
      </c>
      <c r="G41" s="239"/>
      <c r="H41" s="239"/>
    </row>
    <row r="42" spans="2:8" ht="45" x14ac:dyDescent="0.25">
      <c r="B42" s="119" t="s">
        <v>133</v>
      </c>
      <c r="C42" s="121" t="s">
        <v>183</v>
      </c>
      <c r="F42" s="120" t="s">
        <v>67</v>
      </c>
      <c r="G42" s="231">
        <v>2</v>
      </c>
      <c r="H42" s="232"/>
    </row>
  </sheetData>
  <mergeCells count="28">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 ref="G30:H30"/>
    <mergeCell ref="G31:H31"/>
    <mergeCell ref="B8:H8"/>
    <mergeCell ref="G11:H11"/>
    <mergeCell ref="G12:H12"/>
    <mergeCell ref="G13:H13"/>
    <mergeCell ref="G10:H10"/>
    <mergeCell ref="B3:H3"/>
    <mergeCell ref="B4:H4"/>
    <mergeCell ref="G14:H14"/>
    <mergeCell ref="B27:H27"/>
    <mergeCell ref="G29:H29"/>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E17" sqref="E17"/>
    </sheetView>
  </sheetViews>
  <sheetFormatPr baseColWidth="10" defaultRowHeight="15" x14ac:dyDescent="0.25"/>
  <cols>
    <col min="1" max="1" width="2.42578125" style="1" customWidth="1"/>
    <col min="2" max="2" width="4.7109375" style="16" customWidth="1"/>
    <col min="3" max="3" width="76.42578125" style="1" customWidth="1"/>
    <col min="4" max="4" width="11" style="1" customWidth="1"/>
    <col min="5" max="5" width="11.140625" style="16" customWidth="1"/>
    <col min="6" max="6" width="10.7109375" style="16" customWidth="1"/>
    <col min="7" max="7" width="15.7109375" style="16" bestFit="1" customWidth="1"/>
    <col min="8" max="8" width="11.42578125" style="1"/>
    <col min="9" max="9" width="12.140625" style="1" bestFit="1" customWidth="1"/>
    <col min="10" max="16384" width="11.42578125" style="1"/>
  </cols>
  <sheetData>
    <row r="2" spans="2:7" ht="26.25" x14ac:dyDescent="0.4">
      <c r="B2" s="240" t="s">
        <v>5</v>
      </c>
      <c r="C2" s="240"/>
      <c r="D2" s="240"/>
      <c r="E2" s="240"/>
      <c r="F2" s="240"/>
      <c r="G2" s="240"/>
    </row>
    <row r="3" spans="2:7" ht="18.75" x14ac:dyDescent="0.3">
      <c r="B3" s="122"/>
      <c r="C3" s="123"/>
      <c r="D3" s="124"/>
      <c r="E3" s="124"/>
      <c r="F3" s="124" t="s">
        <v>59</v>
      </c>
      <c r="G3" s="125">
        <f>SUM(G5:G29)*'Factor de complejidad Téc y Amb'!H9*'Factor de complejidad Téc y Amb'!H28</f>
        <v>33.515999999999998</v>
      </c>
    </row>
    <row r="4" spans="2:7" x14ac:dyDescent="0.25">
      <c r="B4" s="122" t="s">
        <v>0</v>
      </c>
      <c r="C4" s="126" t="s">
        <v>6</v>
      </c>
      <c r="D4" s="122" t="s">
        <v>58</v>
      </c>
      <c r="E4" s="122" t="s">
        <v>56</v>
      </c>
      <c r="F4" s="122" t="s">
        <v>16</v>
      </c>
      <c r="G4" s="122" t="s">
        <v>57</v>
      </c>
    </row>
    <row r="5" spans="2:7" x14ac:dyDescent="0.25">
      <c r="B5" s="2">
        <v>1</v>
      </c>
      <c r="C5" s="211" t="s">
        <v>184</v>
      </c>
      <c r="D5" s="19" t="s">
        <v>69</v>
      </c>
      <c r="E5" s="20" t="s">
        <v>199</v>
      </c>
      <c r="F5" s="51">
        <f>IF(D5="Simple",5,IF(D5="Promedio",10,IF(D5="Complejo",15,0)))</f>
        <v>15</v>
      </c>
      <c r="G5" s="51">
        <f t="shared" ref="G5:G29" si="0">IF(E5="Si",IF(D5="Simple",5,IF(D5="Promedio",5,IF(D5="Complejo",10,5))),F5)</f>
        <v>10</v>
      </c>
    </row>
    <row r="6" spans="2:7" x14ac:dyDescent="0.25">
      <c r="B6" s="2">
        <v>2</v>
      </c>
      <c r="C6" s="18" t="s">
        <v>185</v>
      </c>
      <c r="D6" s="19" t="s">
        <v>9</v>
      </c>
      <c r="E6" s="20" t="s">
        <v>199</v>
      </c>
      <c r="F6" s="51">
        <f t="shared" ref="F6:F29" si="1">IF(D6="Simple",5,IF(D6="Promedio",10,IF(D6="Complejo",15,0)))</f>
        <v>5</v>
      </c>
      <c r="G6" s="51">
        <f t="shared" si="0"/>
        <v>5</v>
      </c>
    </row>
    <row r="7" spans="2:7" x14ac:dyDescent="0.25">
      <c r="B7" s="2">
        <v>3</v>
      </c>
      <c r="C7" s="18" t="s">
        <v>186</v>
      </c>
      <c r="D7" s="19" t="s">
        <v>9</v>
      </c>
      <c r="E7" s="20" t="s">
        <v>199</v>
      </c>
      <c r="F7" s="51">
        <f t="shared" si="1"/>
        <v>5</v>
      </c>
      <c r="G7" s="51">
        <f t="shared" si="0"/>
        <v>5</v>
      </c>
    </row>
    <row r="8" spans="2:7" x14ac:dyDescent="0.25">
      <c r="B8" s="2">
        <v>4</v>
      </c>
      <c r="C8" s="211" t="s">
        <v>187</v>
      </c>
      <c r="D8" s="19" t="s">
        <v>9</v>
      </c>
      <c r="E8" s="20" t="s">
        <v>199</v>
      </c>
      <c r="F8" s="51">
        <f>IF(D8="Simple",5,IF(D8="Intermedio",10,IF(D8="Complejo",15,0)))</f>
        <v>5</v>
      </c>
      <c r="G8" s="51">
        <f t="shared" si="0"/>
        <v>5</v>
      </c>
    </row>
    <row r="9" spans="2:7" x14ac:dyDescent="0.25">
      <c r="B9" s="2">
        <v>5</v>
      </c>
      <c r="C9" s="18" t="s">
        <v>188</v>
      </c>
      <c r="D9" s="19" t="s">
        <v>198</v>
      </c>
      <c r="E9" s="20" t="s">
        <v>199</v>
      </c>
      <c r="F9" s="51">
        <f t="shared" ref="F9:F16" si="2">IF(D9="Simple",5,IF(D9="Intermedio",10,IF(D9="Complejo",15,0)))</f>
        <v>10</v>
      </c>
      <c r="G9" s="51">
        <f t="shared" si="0"/>
        <v>5</v>
      </c>
    </row>
    <row r="10" spans="2:7" x14ac:dyDescent="0.25">
      <c r="B10" s="2">
        <v>6</v>
      </c>
      <c r="C10" s="18" t="s">
        <v>189</v>
      </c>
      <c r="D10" s="19" t="s">
        <v>9</v>
      </c>
      <c r="E10" s="20" t="s">
        <v>199</v>
      </c>
      <c r="F10" s="51">
        <f t="shared" si="2"/>
        <v>5</v>
      </c>
      <c r="G10" s="51">
        <f t="shared" si="0"/>
        <v>5</v>
      </c>
    </row>
    <row r="11" spans="2:7" x14ac:dyDescent="0.25">
      <c r="B11" s="2">
        <v>7</v>
      </c>
      <c r="C11" s="211" t="s">
        <v>190</v>
      </c>
      <c r="D11" s="19" t="s">
        <v>9</v>
      </c>
      <c r="E11" s="20" t="s">
        <v>199</v>
      </c>
      <c r="F11" s="51">
        <f t="shared" si="2"/>
        <v>5</v>
      </c>
      <c r="G11" s="51">
        <f t="shared" si="0"/>
        <v>5</v>
      </c>
    </row>
    <row r="12" spans="2:7" x14ac:dyDescent="0.25">
      <c r="B12" s="2">
        <v>8</v>
      </c>
      <c r="C12" s="18" t="s">
        <v>191</v>
      </c>
      <c r="D12" s="19" t="s">
        <v>198</v>
      </c>
      <c r="E12" s="20" t="s">
        <v>199</v>
      </c>
      <c r="F12" s="51">
        <f t="shared" si="2"/>
        <v>10</v>
      </c>
      <c r="G12" s="51">
        <f t="shared" si="0"/>
        <v>5</v>
      </c>
    </row>
    <row r="13" spans="2:7" x14ac:dyDescent="0.25">
      <c r="B13" s="2">
        <v>9</v>
      </c>
      <c r="C13" s="18" t="s">
        <v>192</v>
      </c>
      <c r="D13" s="19" t="s">
        <v>9</v>
      </c>
      <c r="E13" s="20" t="s">
        <v>199</v>
      </c>
      <c r="F13" s="51">
        <f t="shared" si="2"/>
        <v>5</v>
      </c>
      <c r="G13" s="51">
        <f t="shared" si="0"/>
        <v>5</v>
      </c>
    </row>
    <row r="14" spans="2:7" x14ac:dyDescent="0.25">
      <c r="B14" s="2">
        <v>10</v>
      </c>
      <c r="C14" s="211" t="s">
        <v>193</v>
      </c>
      <c r="D14" s="19" t="s">
        <v>198</v>
      </c>
      <c r="E14" s="20" t="s">
        <v>199</v>
      </c>
      <c r="F14" s="51">
        <f t="shared" si="2"/>
        <v>10</v>
      </c>
      <c r="G14" s="51">
        <f t="shared" si="0"/>
        <v>5</v>
      </c>
    </row>
    <row r="15" spans="2:7" x14ac:dyDescent="0.25">
      <c r="B15" s="2">
        <v>11</v>
      </c>
      <c r="C15" s="18" t="s">
        <v>194</v>
      </c>
      <c r="D15" s="19" t="s">
        <v>198</v>
      </c>
      <c r="E15" s="20" t="s">
        <v>199</v>
      </c>
      <c r="F15" s="51">
        <f t="shared" si="2"/>
        <v>10</v>
      </c>
      <c r="G15" s="51">
        <f t="shared" si="0"/>
        <v>5</v>
      </c>
    </row>
    <row r="16" spans="2:7" x14ac:dyDescent="0.25">
      <c r="B16" s="2">
        <v>12</v>
      </c>
      <c r="C16" s="18" t="s">
        <v>195</v>
      </c>
      <c r="D16" s="19" t="s">
        <v>198</v>
      </c>
      <c r="E16" s="20" t="s">
        <v>199</v>
      </c>
      <c r="F16" s="51">
        <f t="shared" si="2"/>
        <v>10</v>
      </c>
      <c r="G16" s="51">
        <f t="shared" si="0"/>
        <v>5</v>
      </c>
    </row>
    <row r="17" spans="2:7" x14ac:dyDescent="0.25">
      <c r="B17" s="2">
        <v>13</v>
      </c>
      <c r="C17" s="211" t="s">
        <v>196</v>
      </c>
      <c r="D17" s="19" t="s">
        <v>198</v>
      </c>
      <c r="E17" s="20" t="s">
        <v>199</v>
      </c>
      <c r="F17" s="51">
        <f t="shared" si="1"/>
        <v>0</v>
      </c>
      <c r="G17" s="51">
        <f t="shared" si="0"/>
        <v>5</v>
      </c>
    </row>
    <row r="18" spans="2:7" x14ac:dyDescent="0.25">
      <c r="B18" s="2">
        <v>14</v>
      </c>
      <c r="C18" s="18" t="s">
        <v>197</v>
      </c>
      <c r="D18" s="19"/>
      <c r="E18" s="20"/>
      <c r="F18" s="51">
        <f t="shared" si="1"/>
        <v>0</v>
      </c>
      <c r="G18" s="51">
        <f t="shared" si="0"/>
        <v>0</v>
      </c>
    </row>
    <row r="19" spans="2:7" x14ac:dyDescent="0.25">
      <c r="B19" s="2">
        <v>15</v>
      </c>
      <c r="C19" s="18" t="s">
        <v>80</v>
      </c>
      <c r="D19" s="19"/>
      <c r="E19" s="20"/>
      <c r="F19" s="51">
        <f t="shared" si="1"/>
        <v>0</v>
      </c>
      <c r="G19" s="51">
        <f t="shared" si="0"/>
        <v>0</v>
      </c>
    </row>
    <row r="20" spans="2:7" x14ac:dyDescent="0.25">
      <c r="B20" s="2">
        <v>16</v>
      </c>
      <c r="C20" s="205" t="s">
        <v>80</v>
      </c>
      <c r="D20" s="19"/>
      <c r="E20" s="20"/>
      <c r="F20" s="51">
        <f t="shared" si="1"/>
        <v>0</v>
      </c>
      <c r="G20" s="51">
        <f t="shared" si="0"/>
        <v>0</v>
      </c>
    </row>
    <row r="21" spans="2:7" x14ac:dyDescent="0.25">
      <c r="B21" s="2">
        <v>17</v>
      </c>
      <c r="C21" s="18" t="s">
        <v>80</v>
      </c>
      <c r="D21" s="19"/>
      <c r="E21" s="20"/>
      <c r="F21" s="51">
        <f t="shared" si="1"/>
        <v>0</v>
      </c>
      <c r="G21" s="51">
        <f t="shared" si="0"/>
        <v>0</v>
      </c>
    </row>
    <row r="22" spans="2:7" x14ac:dyDescent="0.25">
      <c r="B22" s="2">
        <v>18</v>
      </c>
      <c r="C22" s="18" t="s">
        <v>80</v>
      </c>
      <c r="D22" s="19"/>
      <c r="E22" s="20"/>
      <c r="F22" s="51">
        <f t="shared" si="1"/>
        <v>0</v>
      </c>
      <c r="G22" s="51">
        <f t="shared" si="0"/>
        <v>0</v>
      </c>
    </row>
    <row r="23" spans="2:7" x14ac:dyDescent="0.25">
      <c r="B23" s="2">
        <v>19</v>
      </c>
      <c r="C23" s="21" t="s">
        <v>80</v>
      </c>
      <c r="D23" s="19"/>
      <c r="E23" s="20"/>
      <c r="F23" s="51">
        <f t="shared" si="1"/>
        <v>0</v>
      </c>
      <c r="G23" s="51">
        <f t="shared" si="0"/>
        <v>0</v>
      </c>
    </row>
    <row r="24" spans="2:7" x14ac:dyDescent="0.25">
      <c r="B24" s="2">
        <v>20</v>
      </c>
      <c r="C24" s="18" t="s">
        <v>80</v>
      </c>
      <c r="D24" s="19"/>
      <c r="E24" s="20"/>
      <c r="F24" s="51">
        <f t="shared" si="1"/>
        <v>0</v>
      </c>
      <c r="G24" s="51">
        <f t="shared" si="0"/>
        <v>0</v>
      </c>
    </row>
    <row r="25" spans="2:7" x14ac:dyDescent="0.25">
      <c r="B25" s="2">
        <v>21</v>
      </c>
      <c r="C25" s="18" t="s">
        <v>80</v>
      </c>
      <c r="D25" s="19"/>
      <c r="E25" s="20"/>
      <c r="F25" s="51">
        <f t="shared" si="1"/>
        <v>0</v>
      </c>
      <c r="G25" s="51">
        <f t="shared" si="0"/>
        <v>0</v>
      </c>
    </row>
    <row r="26" spans="2:7" x14ac:dyDescent="0.25">
      <c r="B26" s="2">
        <v>22</v>
      </c>
      <c r="C26" s="4"/>
      <c r="D26" s="19"/>
      <c r="E26" s="20"/>
      <c r="F26" s="51">
        <f t="shared" si="1"/>
        <v>0</v>
      </c>
      <c r="G26" s="51">
        <f t="shared" si="0"/>
        <v>0</v>
      </c>
    </row>
    <row r="27" spans="2:7" x14ac:dyDescent="0.25">
      <c r="B27" s="2">
        <v>23</v>
      </c>
      <c r="C27" s="4"/>
      <c r="D27" s="19"/>
      <c r="E27" s="20"/>
      <c r="F27" s="51">
        <f t="shared" si="1"/>
        <v>0</v>
      </c>
      <c r="G27" s="51">
        <f t="shared" si="0"/>
        <v>0</v>
      </c>
    </row>
    <row r="28" spans="2:7" x14ac:dyDescent="0.25">
      <c r="B28" s="2">
        <v>24</v>
      </c>
      <c r="C28" s="4"/>
      <c r="D28" s="19"/>
      <c r="E28" s="20"/>
      <c r="F28" s="51">
        <f t="shared" si="1"/>
        <v>0</v>
      </c>
      <c r="G28" s="51">
        <f t="shared" si="0"/>
        <v>0</v>
      </c>
    </row>
    <row r="29" spans="2:7" x14ac:dyDescent="0.25">
      <c r="B29" s="2">
        <v>25</v>
      </c>
      <c r="C29" s="4"/>
      <c r="D29" s="19"/>
      <c r="E29" s="20"/>
      <c r="F29" s="51">
        <f t="shared" si="1"/>
        <v>0</v>
      </c>
      <c r="G29" s="51">
        <f t="shared" si="0"/>
        <v>0</v>
      </c>
    </row>
    <row r="30" spans="2:7" x14ac:dyDescent="0.25">
      <c r="B30" s="5"/>
      <c r="C30" s="6"/>
      <c r="D30" s="6"/>
      <c r="E30" s="5"/>
      <c r="F30" s="5"/>
      <c r="G30" s="5"/>
    </row>
    <row r="32" spans="2:7" x14ac:dyDescent="0.25">
      <c r="C32" s="17"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9"/>
  <sheetViews>
    <sheetView showGridLines="0" tabSelected="1" topLeftCell="D34" zoomScale="70" zoomScaleNormal="70" workbookViewId="0">
      <selection activeCell="O59" sqref="O59"/>
    </sheetView>
  </sheetViews>
  <sheetFormatPr baseColWidth="10" defaultRowHeight="15" x14ac:dyDescent="0.25"/>
  <cols>
    <col min="1" max="1" width="3.140625" style="1" customWidth="1"/>
    <col min="2" max="2" width="7" style="16" bestFit="1" customWidth="1"/>
    <col min="3" max="3" width="73.140625" style="1" customWidth="1"/>
    <col min="4" max="4" width="11.7109375" style="1" customWidth="1"/>
    <col min="5" max="5" width="12.5703125" style="16" bestFit="1" customWidth="1"/>
    <col min="6" max="6" width="26.28515625" style="16" bestFit="1" customWidth="1"/>
    <col min="7" max="7" width="20.85546875" style="16" bestFit="1" customWidth="1"/>
    <col min="8" max="8" width="7.5703125" style="16" bestFit="1" customWidth="1"/>
    <col min="9" max="9" width="22.7109375" style="1" customWidth="1"/>
    <col min="10" max="10" width="19" style="1" customWidth="1"/>
    <col min="11" max="11" width="17.42578125" style="1" customWidth="1"/>
    <col min="12" max="16384" width="11.42578125" style="1"/>
  </cols>
  <sheetData>
    <row r="1" spans="2:16" s="22" customFormat="1" x14ac:dyDescent="0.25">
      <c r="B1" s="23"/>
      <c r="C1" s="23"/>
      <c r="D1" s="23"/>
      <c r="E1" s="23"/>
      <c r="F1" s="23"/>
      <c r="G1" s="23"/>
      <c r="H1" s="23"/>
      <c r="I1" s="23"/>
      <c r="J1" s="23"/>
      <c r="K1" s="23"/>
      <c r="L1" s="23"/>
      <c r="M1" s="23"/>
      <c r="N1" s="23"/>
      <c r="O1" s="23"/>
      <c r="P1" s="24"/>
    </row>
    <row r="2" spans="2:16" s="22" customFormat="1" x14ac:dyDescent="0.25">
      <c r="B2" s="23"/>
      <c r="C2" s="153" t="s">
        <v>151</v>
      </c>
      <c r="D2" s="159">
        <f>'Estimación de Tamaño UCP'!G3</f>
        <v>33.515999999999998</v>
      </c>
      <c r="E2" s="154" t="s">
        <v>154</v>
      </c>
      <c r="F2" s="23"/>
      <c r="G2" s="23"/>
      <c r="H2" s="23"/>
      <c r="I2" s="23"/>
      <c r="J2" s="23"/>
      <c r="K2" s="23"/>
      <c r="L2" s="23"/>
      <c r="M2" s="23"/>
      <c r="N2" s="23"/>
      <c r="O2" s="23"/>
      <c r="P2" s="24"/>
    </row>
    <row r="3" spans="2:16" s="22" customFormat="1" x14ac:dyDescent="0.25">
      <c r="B3" s="23"/>
      <c r="C3" s="155" t="s">
        <v>152</v>
      </c>
      <c r="D3" s="152" t="str">
        <f>'Factor de complejidad Téc y Amb'!$C$42</f>
        <v>2</v>
      </c>
      <c r="E3" s="156" t="s">
        <v>155</v>
      </c>
      <c r="F3" s="23"/>
      <c r="G3" s="23"/>
      <c r="H3" s="23"/>
      <c r="I3" s="23"/>
      <c r="J3" s="23"/>
      <c r="K3" s="23"/>
      <c r="L3" s="23"/>
      <c r="M3" s="23"/>
      <c r="N3" s="23"/>
      <c r="O3" s="23"/>
      <c r="P3" s="24"/>
    </row>
    <row r="4" spans="2:16" s="22" customFormat="1" x14ac:dyDescent="0.25">
      <c r="B4" s="23"/>
      <c r="C4" s="157" t="s">
        <v>153</v>
      </c>
      <c r="D4" s="160">
        <f>D3*D2</f>
        <v>67.031999999999996</v>
      </c>
      <c r="E4" s="158" t="s">
        <v>155</v>
      </c>
      <c r="F4" s="23"/>
      <c r="G4" s="23"/>
      <c r="H4" s="23"/>
      <c r="I4" s="23"/>
      <c r="J4" s="23"/>
      <c r="K4" s="23"/>
      <c r="L4" s="23"/>
      <c r="M4" s="23"/>
      <c r="N4" s="23"/>
      <c r="O4" s="23"/>
      <c r="P4" s="24"/>
    </row>
    <row r="5" spans="2:16" s="22" customFormat="1" x14ac:dyDescent="0.25">
      <c r="B5" s="23"/>
      <c r="C5" s="23"/>
      <c r="D5" s="23"/>
      <c r="E5" s="23"/>
      <c r="F5" s="23"/>
      <c r="G5" s="23"/>
      <c r="H5" s="23"/>
      <c r="I5" s="23"/>
      <c r="J5" s="23"/>
      <c r="K5" s="23"/>
      <c r="L5" s="23"/>
      <c r="M5" s="23"/>
      <c r="N5" s="23"/>
      <c r="O5" s="23"/>
      <c r="P5" s="24"/>
    </row>
    <row r="6" spans="2:16" ht="26.25" x14ac:dyDescent="0.4">
      <c r="B6" s="244" t="s">
        <v>70</v>
      </c>
      <c r="C6" s="245"/>
      <c r="D6" s="245"/>
      <c r="E6" s="245"/>
      <c r="F6" s="245"/>
      <c r="G6" s="245"/>
      <c r="H6" s="245"/>
      <c r="I6" s="245"/>
      <c r="J6" s="245"/>
      <c r="K6" s="246"/>
    </row>
    <row r="7" spans="2:16" ht="21" x14ac:dyDescent="0.35">
      <c r="B7" s="52"/>
      <c r="C7" s="53"/>
      <c r="D7" s="53"/>
      <c r="E7" s="53"/>
      <c r="F7" s="206">
        <f>SUM(F9+F15+F28+F42+F44)</f>
        <v>209.81740000000002</v>
      </c>
      <c r="G7" s="53"/>
      <c r="H7" s="53"/>
      <c r="I7" s="52"/>
      <c r="J7" s="52"/>
      <c r="K7" s="164"/>
    </row>
    <row r="8" spans="2:16" ht="15.75" x14ac:dyDescent="0.25">
      <c r="B8" s="54" t="s">
        <v>0</v>
      </c>
      <c r="C8" s="55" t="s">
        <v>145</v>
      </c>
      <c r="D8" s="54" t="s">
        <v>64</v>
      </c>
      <c r="E8" s="54" t="s">
        <v>2</v>
      </c>
      <c r="F8" s="54" t="s">
        <v>134</v>
      </c>
      <c r="G8" s="54" t="s">
        <v>105</v>
      </c>
      <c r="H8" s="54" t="s">
        <v>2</v>
      </c>
      <c r="I8" s="127" t="s">
        <v>106</v>
      </c>
      <c r="J8" s="128" t="s">
        <v>104</v>
      </c>
      <c r="K8" s="165" t="s">
        <v>86</v>
      </c>
    </row>
    <row r="9" spans="2:16" ht="15.75" x14ac:dyDescent="0.25">
      <c r="B9" s="185">
        <v>1</v>
      </c>
      <c r="C9" s="186" t="s">
        <v>1</v>
      </c>
      <c r="D9" s="187"/>
      <c r="E9" s="188">
        <f>(F9/F7)</f>
        <v>0.1382154196935049</v>
      </c>
      <c r="F9" s="189">
        <v>29</v>
      </c>
      <c r="G9" s="190"/>
      <c r="H9" s="191"/>
      <c r="I9" s="241" t="s">
        <v>121</v>
      </c>
      <c r="J9" s="242"/>
      <c r="K9" s="183">
        <f>SUM(K10:K14)</f>
        <v>1496.8980400219298</v>
      </c>
    </row>
    <row r="10" spans="2:16" ht="15.75" x14ac:dyDescent="0.25">
      <c r="B10" s="56"/>
      <c r="C10" s="57" t="s">
        <v>110</v>
      </c>
      <c r="D10" s="56"/>
      <c r="E10" s="85"/>
      <c r="F10" s="60">
        <v>5</v>
      </c>
      <c r="G10" s="62">
        <v>1</v>
      </c>
      <c r="H10" s="148">
        <f>(F10/F9)</f>
        <v>0.17241379310344829</v>
      </c>
      <c r="I10" s="129" t="s">
        <v>89</v>
      </c>
      <c r="J10" s="130">
        <f>IF(I10="Líder de proyecto",Recursos!E$5,(IF(I10="Analista",Recursos!E$6,(IF(I10="Diseñador",Recursos!#REF!,(IF(I10="Tester",Recursos!E$7,(IF(I10="Desarrollador",Recursos!E$8,(IF(I10="Arquitecto",Recursos!E$12,(IF(I10="Aseguramiento de la calidad",Recursos!E$9,0)))))))))))))</f>
        <v>51.617173793859649</v>
      </c>
      <c r="K10" s="167">
        <f>F10*J10*G10</f>
        <v>258.08586896929825</v>
      </c>
    </row>
    <row r="11" spans="2:16" ht="15.75" x14ac:dyDescent="0.25">
      <c r="B11" s="56"/>
      <c r="C11" s="57" t="s">
        <v>111</v>
      </c>
      <c r="D11" s="56"/>
      <c r="E11" s="85"/>
      <c r="F11" s="60">
        <v>8</v>
      </c>
      <c r="G11" s="62">
        <v>1</v>
      </c>
      <c r="H11" s="148">
        <f>(F11/F9)</f>
        <v>0.27586206896551724</v>
      </c>
      <c r="I11" s="129" t="s">
        <v>89</v>
      </c>
      <c r="J11" s="130">
        <f>IF(I11="Líder de proyecto",Recursos!E$5,(IF(I11="Analista",Recursos!E$6,(IF(I11="Diseñador",Recursos!#REF!,(IF(I11="Tester",Recursos!E$7,(IF(I11="Desarrollador",Recursos!E$8,(IF(I11="Arquitecto",Recursos!E$12,(IF(I11="Aseguramiento de la calidad",Recursos!E$9,0)))))))))))))</f>
        <v>51.617173793859649</v>
      </c>
      <c r="K11" s="167">
        <f>F11*J11*G11</f>
        <v>412.93739035087719</v>
      </c>
    </row>
    <row r="12" spans="2:16" ht="15.75" x14ac:dyDescent="0.25">
      <c r="B12" s="56"/>
      <c r="C12" s="57" t="s">
        <v>176</v>
      </c>
      <c r="D12" s="56"/>
      <c r="E12" s="85"/>
      <c r="F12" s="60">
        <v>3</v>
      </c>
      <c r="G12" s="62">
        <v>1</v>
      </c>
      <c r="H12" s="148">
        <f>(F12/F9)</f>
        <v>0.10344827586206896</v>
      </c>
      <c r="I12" s="129" t="s">
        <v>89</v>
      </c>
      <c r="J12" s="130">
        <f>IF(I12="Líder de proyecto",Recursos!E$5,(IF(I12="Analista",Recursos!E$6,(IF(I12="Diseñador",Recursos!#REF!,(IF(I12="Tester",Recursos!E$7,(IF(I12="Desarrollador",Recursos!E$8,(IF(I12="Arquitecto",Recursos!E$12,(IF(I12="Aseguramiento de la calidad",Recursos!E$9,0)))))))))))))</f>
        <v>51.617173793859649</v>
      </c>
      <c r="K12" s="167">
        <f>F12*J12*G12</f>
        <v>154.85152138157895</v>
      </c>
    </row>
    <row r="13" spans="2:16" ht="15.75" x14ac:dyDescent="0.25">
      <c r="B13" s="56"/>
      <c r="C13" s="57" t="s">
        <v>114</v>
      </c>
      <c r="D13" s="56"/>
      <c r="E13" s="85"/>
      <c r="F13" s="60">
        <v>10</v>
      </c>
      <c r="G13" s="62">
        <v>1</v>
      </c>
      <c r="H13" s="148">
        <f>(F13/F9)</f>
        <v>0.34482758620689657</v>
      </c>
      <c r="I13" s="129" t="s">
        <v>89</v>
      </c>
      <c r="J13" s="130">
        <f>IF(I13="Líder de proyecto",Recursos!E$5,(IF(I13="Analista",Recursos!E$6,(IF(I13="Diseñador",Recursos!#REF!,(IF(I13="Tester",Recursos!E$7,(IF(I13="Desarrollador",Recursos!E$8,(IF(I13="Arquitecto",Recursos!E$12,(IF(I13="Aseguramiento de la calidad",Recursos!E$9,0)))))))))))))</f>
        <v>51.617173793859649</v>
      </c>
      <c r="K13" s="167">
        <f>F13*J13*G13</f>
        <v>516.17173793859649</v>
      </c>
    </row>
    <row r="14" spans="2:16" ht="15.75" x14ac:dyDescent="0.25">
      <c r="B14" s="56"/>
      <c r="C14" s="57" t="s">
        <v>112</v>
      </c>
      <c r="D14" s="56"/>
      <c r="E14" s="85"/>
      <c r="F14" s="60">
        <v>3</v>
      </c>
      <c r="G14" s="62">
        <v>1</v>
      </c>
      <c r="H14" s="148">
        <f>(F14/F9)</f>
        <v>0.10344827586206896</v>
      </c>
      <c r="I14" s="129" t="s">
        <v>89</v>
      </c>
      <c r="J14" s="130">
        <f>IF(I14="Líder de proyecto",Recursos!E$5,(IF(I14="Analista",Recursos!E$6,(IF(I14="Diseñador",Recursos!#REF!,(IF(I14="Tester",Recursos!E$7,(IF(I14="Desarrollador",Recursos!E$8,(IF(I14="Arquitecto",Recursos!E$12,(IF(I14="Aseguramiento de la calidad",Recursos!E$9,0)))))))))))))</f>
        <v>51.617173793859649</v>
      </c>
      <c r="K14" s="167">
        <f>F14*J14*G14</f>
        <v>154.85152138157895</v>
      </c>
    </row>
    <row r="15" spans="2:16" ht="36" customHeight="1" x14ac:dyDescent="0.25">
      <c r="B15" s="185">
        <v>2</v>
      </c>
      <c r="C15" s="186" t="s">
        <v>107</v>
      </c>
      <c r="D15" s="187"/>
      <c r="E15" s="188">
        <f>(F15/F7)</f>
        <v>0.1382154196935049</v>
      </c>
      <c r="F15" s="189">
        <v>29</v>
      </c>
      <c r="G15" s="190"/>
      <c r="H15" s="191"/>
      <c r="I15" s="248" t="s">
        <v>122</v>
      </c>
      <c r="J15" s="249" t="s">
        <v>80</v>
      </c>
      <c r="K15" s="183">
        <f>SUM(K16+K25)</f>
        <v>1727.5088952850879</v>
      </c>
    </row>
    <row r="16" spans="2:16" ht="15.75" x14ac:dyDescent="0.25">
      <c r="B16" s="56"/>
      <c r="C16" s="70" t="s">
        <v>115</v>
      </c>
      <c r="D16" s="87"/>
      <c r="E16" s="85"/>
      <c r="F16" s="71"/>
      <c r="G16" s="88"/>
      <c r="H16" s="89"/>
      <c r="I16" s="250" t="s">
        <v>123</v>
      </c>
      <c r="J16" s="251" t="s">
        <v>80</v>
      </c>
      <c r="K16" s="168">
        <f>SUM(K17:K24)</f>
        <v>1128.9761376096492</v>
      </c>
    </row>
    <row r="17" spans="2:15" ht="15.75" x14ac:dyDescent="0.25">
      <c r="B17" s="56"/>
      <c r="C17" s="57" t="s">
        <v>178</v>
      </c>
      <c r="D17" s="87"/>
      <c r="E17" s="85"/>
      <c r="F17" s="60">
        <v>1</v>
      </c>
      <c r="G17" s="60">
        <v>1</v>
      </c>
      <c r="H17" s="148">
        <f>(F17/F15)</f>
        <v>3.4482758620689655E-2</v>
      </c>
      <c r="I17" s="129" t="s">
        <v>88</v>
      </c>
      <c r="J17" s="130">
        <f>IF(I17="Líder de proyecto",Recursos!E$5,(IF(I17="Analista",Recursos!E$6,(IF(I17="Diseñador",Recursos!#REF!,(IF(I17="Tester",Recursos!E$7,(IF(I17="Desarrollador",Recursos!E$8,(IF(I17="Arquitecto",Recursos!E$12,(IF(I17="Aseguramiento de la calidad",Recursos!E$9,0)))))))))))))</f>
        <v>59.853275767543863</v>
      </c>
      <c r="K17" s="167">
        <f>F17*J17*G17</f>
        <v>59.853275767543863</v>
      </c>
    </row>
    <row r="18" spans="2:15" ht="15.75" x14ac:dyDescent="0.25">
      <c r="B18" s="56"/>
      <c r="C18" s="57" t="s">
        <v>158</v>
      </c>
      <c r="D18" s="56"/>
      <c r="E18" s="85" t="s">
        <v>80</v>
      </c>
      <c r="F18" s="60">
        <v>2</v>
      </c>
      <c r="G18" s="62">
        <v>1</v>
      </c>
      <c r="H18" s="148">
        <f>(F18/F15)</f>
        <v>6.8965517241379309E-2</v>
      </c>
      <c r="I18" s="129" t="s">
        <v>88</v>
      </c>
      <c r="J18" s="130">
        <f>IF(I18="Líder de proyecto",Recursos!E$5,(IF(I18="Analista",Recursos!E$6,(IF(I18="Diseñador",Recursos!#REF!,(IF(I18="Tester",Recursos!E$7,(IF(I18="Desarrollador",Recursos!E$8,(IF(I18="Arquitecto",Recursos!E$12,(IF(I18="Aseguramiento de la calidad",Recursos!E$9,0)))))))))))))</f>
        <v>59.853275767543863</v>
      </c>
      <c r="K18" s="167">
        <f>F18*J18*G18</f>
        <v>119.70655153508773</v>
      </c>
    </row>
    <row r="19" spans="2:15" ht="15.75" x14ac:dyDescent="0.25">
      <c r="B19" s="56"/>
      <c r="C19" s="57" t="s">
        <v>165</v>
      </c>
      <c r="D19" s="56"/>
      <c r="E19" s="85"/>
      <c r="F19" s="60">
        <v>4</v>
      </c>
      <c r="G19" s="62">
        <v>1</v>
      </c>
      <c r="H19" s="148">
        <f>(F19/F15)</f>
        <v>0.13793103448275862</v>
      </c>
      <c r="I19" s="129" t="s">
        <v>88</v>
      </c>
      <c r="J19" s="130">
        <f>IF(I19="Líder de proyecto",Recursos!E$5,(IF(I19="Analista",Recursos!E$6,(IF(I19="Diseñador",Recursos!#REF!,(IF(I19="Tester",Recursos!E$7,(IF(I19="Desarrollador",Recursos!E$8,(IF(I19="Arquitecto",Recursos!E$12,(IF(I19="Aseguramiento de la calidad",Recursos!E$9,0)))))))))))))</f>
        <v>59.853275767543863</v>
      </c>
      <c r="K19" s="167">
        <f t="shared" ref="K19:K21" si="0">F19*J19*G19</f>
        <v>239.41310307017545</v>
      </c>
    </row>
    <row r="20" spans="2:15" ht="15.75" x14ac:dyDescent="0.25">
      <c r="B20" s="56"/>
      <c r="C20" s="57" t="s">
        <v>165</v>
      </c>
      <c r="D20" s="56"/>
      <c r="E20" s="85"/>
      <c r="F20" s="60">
        <v>1</v>
      </c>
      <c r="G20" s="62">
        <v>1</v>
      </c>
      <c r="H20" s="148">
        <f>(F20/F15)</f>
        <v>3.4482758620689655E-2</v>
      </c>
      <c r="I20" s="129" t="s">
        <v>89</v>
      </c>
      <c r="J20" s="130">
        <f>IF(I20="Líder de proyecto",Recursos!E$5,(IF(I20="Analista",Recursos!E$6,(IF(I20="Diseñador",Recursos!#REF!,(IF(I20="Tester",Recursos!E$7,(IF(I20="Desarrollador",Recursos!E$8,(IF(I20="Arquitecto",Recursos!E$12,(IF(I20="Aseguramiento de la calidad",Recursos!E$9,0)))))))))))))</f>
        <v>51.617173793859649</v>
      </c>
      <c r="K20" s="167">
        <f t="shared" si="0"/>
        <v>51.617173793859649</v>
      </c>
      <c r="N20" s="210" t="s">
        <v>80</v>
      </c>
      <c r="O20" s="1" t="s">
        <v>80</v>
      </c>
    </row>
    <row r="21" spans="2:15" ht="15.75" x14ac:dyDescent="0.25">
      <c r="B21" s="56"/>
      <c r="C21" s="57" t="s">
        <v>113</v>
      </c>
      <c r="D21" s="56"/>
      <c r="E21" s="85"/>
      <c r="F21" s="60">
        <v>6</v>
      </c>
      <c r="G21" s="62">
        <v>1</v>
      </c>
      <c r="H21" s="148">
        <f>(F21/F15)</f>
        <v>0.20689655172413793</v>
      </c>
      <c r="I21" s="129" t="s">
        <v>88</v>
      </c>
      <c r="J21" s="130">
        <f>IF(I21="Líder de proyecto",Recursos!E$5,(IF(I21="Analista",Recursos!E$6,(IF(I21="Diseñador",Recursos!#REF!,(IF(I21="Tester",Recursos!E$7,(IF(I21="Desarrollador",Recursos!E$8,(IF(I21="Arquitecto",Recursos!E$12,(IF(I21="Aseguramiento de la calidad",Recursos!E$9,0)))))))))))))</f>
        <v>59.853275767543863</v>
      </c>
      <c r="K21" s="167">
        <f t="shared" si="0"/>
        <v>359.11965460526318</v>
      </c>
      <c r="N21" s="210" t="s">
        <v>80</v>
      </c>
    </row>
    <row r="22" spans="2:15" ht="15.75" x14ac:dyDescent="0.25">
      <c r="B22" s="56"/>
      <c r="C22" s="57" t="s">
        <v>169</v>
      </c>
      <c r="D22" s="56"/>
      <c r="E22" s="85"/>
      <c r="F22" s="60">
        <v>1</v>
      </c>
      <c r="G22" s="62">
        <v>1</v>
      </c>
      <c r="H22" s="148">
        <f>(F22/F15)</f>
        <v>3.4482758620689655E-2</v>
      </c>
      <c r="I22" s="129" t="s">
        <v>88</v>
      </c>
      <c r="J22" s="130">
        <f>IF(I22="Líder de proyecto",Recursos!E$5,(IF(I22="Analista",Recursos!E$6,(IF(I22="Diseñador",Recursos!#REF!,(IF(I22="Tester",Recursos!E$7,(IF(I22="Desarrollador",Recursos!E$8,(IF(I22="Arquitecto",Recursos!E$12,(IF(I22="Aseguramiento de la calidad",Recursos!E$9,0)))))))))))))</f>
        <v>59.853275767543863</v>
      </c>
      <c r="K22" s="169">
        <f>F22*J22*G22</f>
        <v>59.853275767543863</v>
      </c>
    </row>
    <row r="23" spans="2:15" ht="15.75" x14ac:dyDescent="0.25">
      <c r="B23" s="56"/>
      <c r="C23" s="57" t="s">
        <v>177</v>
      </c>
      <c r="D23" s="56"/>
      <c r="E23" s="85"/>
      <c r="F23" s="60">
        <v>1</v>
      </c>
      <c r="G23" s="62">
        <v>1</v>
      </c>
      <c r="H23" s="148">
        <f>(F23/F15)</f>
        <v>3.4482758620689655E-2</v>
      </c>
      <c r="I23" s="129" t="s">
        <v>88</v>
      </c>
      <c r="J23" s="130">
        <f>IF(I23="Líder de proyecto",Recursos!E$5,(IF(I23="Analista",Recursos!E$6,(IF(I23="Diseñador",Recursos!#REF!,(IF(I23="Tester",Recursos!E$7,(IF(I23="Desarrollador",Recursos!E$8,(IF(I23="Arquitecto",Recursos!E$12,(IF(I23="Aseguramiento de la calidad",Recursos!E$9,0)))))))))))))</f>
        <v>59.853275767543863</v>
      </c>
      <c r="K23" s="169">
        <f>F23*J23*G23</f>
        <v>59.853275767543863</v>
      </c>
    </row>
    <row r="24" spans="2:15" ht="15.75" x14ac:dyDescent="0.25">
      <c r="B24" s="56"/>
      <c r="C24" s="1" t="s">
        <v>181</v>
      </c>
      <c r="D24" s="56"/>
      <c r="E24" s="85"/>
      <c r="F24" s="60">
        <v>3</v>
      </c>
      <c r="G24" s="62">
        <v>1</v>
      </c>
      <c r="H24" s="148">
        <f>(F24/F15)</f>
        <v>0.10344827586206896</v>
      </c>
      <c r="I24" s="129" t="s">
        <v>88</v>
      </c>
      <c r="J24" s="130">
        <f>IF(I24="Líder de proyecto",Recursos!E$5,(IF(I24="Analista",Recursos!E$6,(IF(I24="Diseñador",Recursos!#REF!,(IF(I24="Tester",Recursos!E$7,(IF(I24="Desarrollador",Recursos!E$8,(IF(I24="Arquitecto",Recursos!E$12,(IF(I24="Aseguramiento de la calidad",Recursos!E$9,0)))))))))))))</f>
        <v>59.853275767543863</v>
      </c>
      <c r="K24" s="167">
        <f>F24*J24*G24</f>
        <v>179.55982730263159</v>
      </c>
    </row>
    <row r="25" spans="2:15" ht="15.75" x14ac:dyDescent="0.25">
      <c r="B25" s="56"/>
      <c r="C25" s="70" t="s">
        <v>116</v>
      </c>
      <c r="D25" s="87"/>
      <c r="E25" s="85"/>
      <c r="F25" s="88"/>
      <c r="G25" s="88"/>
      <c r="H25" s="89"/>
      <c r="I25" s="250" t="s">
        <v>124</v>
      </c>
      <c r="J25" s="251" t="s">
        <v>80</v>
      </c>
      <c r="K25" s="168">
        <f>SUM(K26:K27)</f>
        <v>598.53275767543869</v>
      </c>
    </row>
    <row r="26" spans="2:15" ht="15.75" x14ac:dyDescent="0.25">
      <c r="B26" s="56"/>
      <c r="C26" s="57" t="s">
        <v>159</v>
      </c>
      <c r="D26" s="56"/>
      <c r="E26" s="85"/>
      <c r="F26" s="60">
        <v>8</v>
      </c>
      <c r="G26" s="62">
        <v>1</v>
      </c>
      <c r="H26" s="148">
        <f>(F26/F15)</f>
        <v>0.27586206896551724</v>
      </c>
      <c r="I26" s="129" t="s">
        <v>88</v>
      </c>
      <c r="J26" s="130">
        <f>IF(I26="Líder de proyecto",Recursos!E$5,(IF(I26="Analista",Recursos!E$6,(IF(I26="Diseñador",Recursos!#REF!,(IF(I26="Tester",Recursos!E$7,(IF(I26="Desarrollador",Recursos!E$8,(IF(I26="Arquitecto",Recursos!E$12,(IF(I26="Aseguramiento de la calidad",Recursos!E$9,0)))))))))))))</f>
        <v>59.853275767543863</v>
      </c>
      <c r="K26" s="167">
        <f t="shared" ref="K26:K27" si="1">F26*J26*G26</f>
        <v>478.82620614035091</v>
      </c>
    </row>
    <row r="27" spans="2:15" ht="15.75" x14ac:dyDescent="0.25">
      <c r="B27" s="56"/>
      <c r="C27" s="57" t="s">
        <v>160</v>
      </c>
      <c r="D27" s="56"/>
      <c r="E27" s="85"/>
      <c r="F27" s="60">
        <v>2</v>
      </c>
      <c r="G27" s="62">
        <v>1</v>
      </c>
      <c r="H27" s="148">
        <f>(F27/F15)</f>
        <v>6.8965517241379309E-2</v>
      </c>
      <c r="I27" s="129" t="s">
        <v>88</v>
      </c>
      <c r="J27" s="130">
        <f>IF(I27="Líder de proyecto",Recursos!E$5,(IF(I27="Analista",Recursos!E$6,(IF(I27="Diseñador",Recursos!#REF!,(IF(I27="Tester",Recursos!E$7,(IF(I27="Desarrollador",Recursos!E$8,(IF(I27="Arquitecto",Recursos!E$12,(IF(I27="Aseguramiento de la calidad",Recursos!E$9,0)))))))))))))</f>
        <v>59.853275767543863</v>
      </c>
      <c r="K27" s="167">
        <f t="shared" si="1"/>
        <v>119.70655153508773</v>
      </c>
    </row>
    <row r="28" spans="2:15" ht="15.75" x14ac:dyDescent="0.25">
      <c r="B28" s="185">
        <v>3</v>
      </c>
      <c r="C28" s="186" t="s">
        <v>161</v>
      </c>
      <c r="D28" s="192"/>
      <c r="E28" s="193">
        <f>SUM(E29+E31+E33+E39)</f>
        <v>0.48330807645123802</v>
      </c>
      <c r="F28" s="189">
        <f>SUM(F29+F31+F33+F39)</f>
        <v>101.81740000000001</v>
      </c>
      <c r="G28" s="190"/>
      <c r="H28" s="194"/>
      <c r="I28" s="241" t="s">
        <v>163</v>
      </c>
      <c r="J28" s="242" t="s">
        <v>80</v>
      </c>
      <c r="K28" s="183">
        <f>SUM(K33+K31+K39+K29)</f>
        <v>5904.918487853618</v>
      </c>
    </row>
    <row r="29" spans="2:15" ht="15.75" x14ac:dyDescent="0.25">
      <c r="B29" s="67">
        <v>3.1</v>
      </c>
      <c r="C29" s="72" t="s">
        <v>170</v>
      </c>
      <c r="D29" s="73"/>
      <c r="E29" s="163">
        <f>(F29/F7)</f>
        <v>3.9934724193513023E-2</v>
      </c>
      <c r="F29" s="90">
        <f>(F31*0.125)</f>
        <v>8.3789999999999996</v>
      </c>
      <c r="G29" s="86"/>
      <c r="H29" s="131"/>
      <c r="I29" s="252" t="s">
        <v>174</v>
      </c>
      <c r="J29" s="253" t="s">
        <v>80</v>
      </c>
      <c r="K29" s="166">
        <f>K30</f>
        <v>501.51059765625001</v>
      </c>
    </row>
    <row r="30" spans="2:15" ht="15.75" x14ac:dyDescent="0.25">
      <c r="B30" s="67"/>
      <c r="C30" s="57" t="s">
        <v>117</v>
      </c>
      <c r="D30" s="58"/>
      <c r="E30" s="85"/>
      <c r="F30" s="60">
        <f>(F$29/1)*H30</f>
        <v>8.3789999999999996</v>
      </c>
      <c r="G30" s="69">
        <v>1</v>
      </c>
      <c r="H30" s="148">
        <v>1</v>
      </c>
      <c r="I30" s="129" t="s">
        <v>162</v>
      </c>
      <c r="J30" s="130">
        <f>IF(I30="Líder de proyecto",Recursos!E$5,(IF(I30="Analista",Recursos!E$6,(IF(I30="Diseñador",Recursos!#REF!,(IF(I30="Tester",Recursos!E$7,(IF(I30="Desarrollador",Recursos!E$8,(IF(I30="Arquitecto",Recursos!E$12,(IF(I30="Aseguramiento de la calidad",Recursos!E$9,0)))))))))))))</f>
        <v>59.853275767543863</v>
      </c>
      <c r="K30" s="167">
        <f>F30*J30*G30</f>
        <v>501.51059765625001</v>
      </c>
      <c r="M30" s="1" t="s">
        <v>80</v>
      </c>
    </row>
    <row r="31" spans="2:15" ht="15.75" x14ac:dyDescent="0.25">
      <c r="B31" s="67">
        <v>3.2</v>
      </c>
      <c r="C31" s="72" t="s">
        <v>171</v>
      </c>
      <c r="D31" s="73"/>
      <c r="E31" s="163">
        <f>(F31/F7)</f>
        <v>0.31947779354810418</v>
      </c>
      <c r="F31" s="90">
        <f>D4</f>
        <v>67.031999999999996</v>
      </c>
      <c r="G31" s="86"/>
      <c r="H31" s="75"/>
      <c r="I31" s="252" t="s">
        <v>125</v>
      </c>
      <c r="J31" s="253" t="s">
        <v>80</v>
      </c>
      <c r="K31" s="166">
        <f>SUM(K32:K32)</f>
        <v>4012.0847812500001</v>
      </c>
    </row>
    <row r="32" spans="2:15" ht="15.75" x14ac:dyDescent="0.25">
      <c r="B32" s="67"/>
      <c r="C32" s="57" t="s">
        <v>73</v>
      </c>
      <c r="D32" s="58"/>
      <c r="E32" s="161"/>
      <c r="F32" s="60">
        <f>(F$31/1)*H32</f>
        <v>67.031999999999996</v>
      </c>
      <c r="G32" s="69">
        <v>1</v>
      </c>
      <c r="H32" s="148">
        <v>1</v>
      </c>
      <c r="I32" s="129" t="s">
        <v>179</v>
      </c>
      <c r="J32" s="130">
        <f>IF(I32="Líder de proyecto",Recursos!E$5,(IF(I32="Analista",Recursos!E$6,(IF(I32="Diseñador",Recursos!#REF!,(IF(I32="Tester",Recursos!E$7,(IF(I32="Desarrollador",Recursos!E$8,(IF(I32="Arquitecto",Recursos!E$12,(IF(I32="Aseguramiento de la calidad",Recursos!E$9,0)))))))))))))</f>
        <v>59.853275767543863</v>
      </c>
      <c r="K32" s="169">
        <f>F32*J32*G32</f>
        <v>4012.0847812500001</v>
      </c>
      <c r="M32" s="1" t="s">
        <v>80</v>
      </c>
    </row>
    <row r="33" spans="2:13" ht="15.75" x14ac:dyDescent="0.25">
      <c r="B33" s="67">
        <v>3.3</v>
      </c>
      <c r="C33" s="72" t="s">
        <v>172</v>
      </c>
      <c r="D33" s="76"/>
      <c r="E33" s="163">
        <v>0.06</v>
      </c>
      <c r="F33" s="151">
        <v>13</v>
      </c>
      <c r="G33" s="86"/>
      <c r="H33" s="75"/>
      <c r="I33" s="252" t="s">
        <v>126</v>
      </c>
      <c r="J33" s="253" t="s">
        <v>80</v>
      </c>
      <c r="K33" s="166">
        <f>SUM(K34:K37)</f>
        <v>644.11439144736846</v>
      </c>
    </row>
    <row r="34" spans="2:13" ht="15.75" x14ac:dyDescent="0.25">
      <c r="B34" s="67"/>
      <c r="C34" s="57" t="s">
        <v>166</v>
      </c>
      <c r="D34" s="59"/>
      <c r="E34" s="85"/>
      <c r="F34" s="60">
        <v>2</v>
      </c>
      <c r="G34" s="69">
        <v>1</v>
      </c>
      <c r="H34" s="148">
        <v>0.15</v>
      </c>
      <c r="I34" s="129" t="s">
        <v>90</v>
      </c>
      <c r="J34" s="130">
        <f>IF(I34="Líder de proyecto",Recursos!E$5,(IF(I34="Analista",Recursos!E$6,(IF(I34="Diseñador",Recursos!#REF!,(IF(I34="Tester",Recursos!E$7,(IF(I34="Desarrollador",Recursos!E$8,(IF(I34="Arquitecto",Recursos!E$12,(IF(I34="Aseguramiento de la calidad",Recursos!E$9,0)))))))))))))</f>
        <v>51.617173793859649</v>
      </c>
      <c r="K34" s="167">
        <f>F34*J34*G34</f>
        <v>103.2343475877193</v>
      </c>
      <c r="M34" s="1" t="s">
        <v>80</v>
      </c>
    </row>
    <row r="35" spans="2:13" ht="15.75" x14ac:dyDescent="0.25">
      <c r="B35" s="67"/>
      <c r="C35" s="57" t="s">
        <v>118</v>
      </c>
      <c r="D35" s="59"/>
      <c r="E35" s="85"/>
      <c r="F35" s="60">
        <v>4</v>
      </c>
      <c r="G35" s="69">
        <v>1</v>
      </c>
      <c r="H35" s="148">
        <v>0.35</v>
      </c>
      <c r="I35" s="129" t="s">
        <v>90</v>
      </c>
      <c r="J35" s="130">
        <f>IF(I35="Líder de proyecto",Recursos!E$5,(IF(I35="Analista",Recursos!E$6,(IF(I35="Diseñador",Recursos!#REF!,(IF(I35="Tester",Recursos!E$7,(IF(I35="Desarrollador",Recursos!E$8,(IF(I35="Arquitecto",Recursos!E$12,(IF(I35="Aseguramiento de la calidad",Recursos!E$9,0)))))))))))))</f>
        <v>51.617173793859649</v>
      </c>
      <c r="K35" s="167">
        <f>F35*J35*G35</f>
        <v>206.4686951754386</v>
      </c>
    </row>
    <row r="36" spans="2:13" ht="15.75" x14ac:dyDescent="0.25">
      <c r="B36" s="67"/>
      <c r="C36" s="57" t="s">
        <v>164</v>
      </c>
      <c r="D36" s="59"/>
      <c r="E36" s="85"/>
      <c r="F36" s="60">
        <v>3</v>
      </c>
      <c r="G36" s="69">
        <v>1</v>
      </c>
      <c r="H36" s="148">
        <v>0.2</v>
      </c>
      <c r="I36" s="129" t="s">
        <v>90</v>
      </c>
      <c r="J36" s="130">
        <f>IF(I36="Líder de proyecto",Recursos!E$5,(IF(I36="Analista",Recursos!E$6,(IF(I36="Diseñador",Recursos!#REF!,(IF(I36="Tester",Recursos!E$7,(IF(I36="Desarrollador",Recursos!E$8,(IF(I36="Arquitecto",Recursos!E$12,(IF(I36="Aseguramiento de la calidad",Recursos!E$9,0)))))))))))))</f>
        <v>51.617173793859649</v>
      </c>
      <c r="K36" s="167">
        <f>F36*J36*G36</f>
        <v>154.85152138157895</v>
      </c>
    </row>
    <row r="37" spans="2:13" ht="15.75" x14ac:dyDescent="0.25">
      <c r="B37" s="67"/>
      <c r="C37" s="57" t="s">
        <v>200</v>
      </c>
      <c r="D37" s="59"/>
      <c r="E37" s="85"/>
      <c r="F37" s="60">
        <v>3</v>
      </c>
      <c r="G37" s="69">
        <v>1</v>
      </c>
      <c r="H37" s="148">
        <v>0.2</v>
      </c>
      <c r="I37" s="129" t="s">
        <v>179</v>
      </c>
      <c r="J37" s="130">
        <f>IF(I37="Líder de proyecto",Recursos!E$5,(IF(I37="Analista",Recursos!E$6,(IF(I37="Diseñador",Recursos!#REF!,(IF(I37="Tester",Recursos!E$7,(IF(I37="Desarrollador",Recursos!E$8,(IF(I37="Arquitecto",Recursos!E$12,(IF(I37="Aseguramiento de la calidad",Recursos!E$9,0)))))))))))))</f>
        <v>59.853275767543863</v>
      </c>
      <c r="K37" s="167">
        <f>F37*J37*G37</f>
        <v>179.55982730263159</v>
      </c>
    </row>
    <row r="38" spans="2:13" ht="15.75" x14ac:dyDescent="0.25">
      <c r="B38" s="67"/>
      <c r="C38" s="57" t="s">
        <v>201</v>
      </c>
      <c r="D38" s="59"/>
      <c r="E38" s="85"/>
      <c r="F38" s="212">
        <v>1</v>
      </c>
      <c r="G38" s="62">
        <v>1</v>
      </c>
      <c r="H38" s="148">
        <v>0.1</v>
      </c>
      <c r="I38" s="129" t="s">
        <v>90</v>
      </c>
      <c r="J38" s="130">
        <f>IF(I38="Líder de proyecto",Recursos!E$5,(IF(I38="Analista",Recursos!E$6,(IF(I38="Diseñador",Recursos!#REF!,(IF(I38="Tester",Recursos!E$7,(IF(I38="Desarrollador",Recursos!E$8,(IF(I38="Arquitecto",Recursos!E$12,(IF(I38="Aseguramiento de la calidad",Recursos!E$9,0)))))))))))))</f>
        <v>51.617173793859649</v>
      </c>
      <c r="K38" s="167">
        <f>F38*J38*G38</f>
        <v>51.617173793859649</v>
      </c>
    </row>
    <row r="39" spans="2:13" ht="15.75" x14ac:dyDescent="0.25">
      <c r="B39" s="67">
        <v>3.4</v>
      </c>
      <c r="C39" s="72" t="s">
        <v>173</v>
      </c>
      <c r="D39" s="74"/>
      <c r="E39" s="163">
        <f>(F39/F7)</f>
        <v>6.3895558709620839E-2</v>
      </c>
      <c r="F39" s="90">
        <f>(F31*0.2)</f>
        <v>13.4064</v>
      </c>
      <c r="G39" s="86"/>
      <c r="H39" s="149"/>
      <c r="I39" s="252" t="s">
        <v>127</v>
      </c>
      <c r="J39" s="253" t="s">
        <v>80</v>
      </c>
      <c r="K39" s="166">
        <f>SUM(K40:K41)</f>
        <v>747.20871749999992</v>
      </c>
    </row>
    <row r="40" spans="2:13" ht="15.75" x14ac:dyDescent="0.25">
      <c r="B40" s="67"/>
      <c r="C40" s="57" t="s">
        <v>167</v>
      </c>
      <c r="D40" s="56"/>
      <c r="E40" s="85"/>
      <c r="F40" s="60">
        <f>(F$39/1)*H40</f>
        <v>6.7031999999999998</v>
      </c>
      <c r="G40" s="69">
        <v>1</v>
      </c>
      <c r="H40" s="148">
        <v>0.5</v>
      </c>
      <c r="I40" s="129" t="s">
        <v>162</v>
      </c>
      <c r="J40" s="130">
        <f>IF(I40="Líder de proyecto",Recursos!E$5,(IF(I40="Analista",Recursos!E$6,(IF(I40="Diseñador",Recursos!#REF!,(IF(I40="Tester",Recursos!E$7,(IF(I40="Desarrollador",Recursos!E$8,(IF(I40="Arquitecto",Recursos!E$12,(IF(I40="Aseguramiento de la calidad",Recursos!E$9,0)))))))))))))</f>
        <v>59.853275767543863</v>
      </c>
      <c r="K40" s="167">
        <f>F40*J40*G40</f>
        <v>401.208478125</v>
      </c>
    </row>
    <row r="41" spans="2:13" ht="15.75" x14ac:dyDescent="0.25">
      <c r="B41" s="67"/>
      <c r="C41" s="57" t="s">
        <v>168</v>
      </c>
      <c r="D41" s="56"/>
      <c r="E41" s="85"/>
      <c r="F41" s="60">
        <f>(F$39/1)*H41</f>
        <v>6.7031999999999998</v>
      </c>
      <c r="G41" s="69">
        <v>1</v>
      </c>
      <c r="H41" s="148">
        <v>0.5</v>
      </c>
      <c r="I41" s="129" t="s">
        <v>89</v>
      </c>
      <c r="J41" s="130">
        <f>IF(I41="Líder de proyecto",Recursos!E$5,(IF(I41="Analista",Recursos!E$6,(IF(I41="Diseñador",Recursos!#REF!,(IF(I41="Tester",Recursos!E$7,(IF(I41="Desarrollador",Recursos!E$8,(IF(I41="Arquitecto",Recursos!E$12,(IF(I41="Aseguramiento de la calidad",Recursos!E$9,0)))))))))))))</f>
        <v>51.617173793859649</v>
      </c>
      <c r="K41" s="167">
        <f>F41*J41*G41</f>
        <v>346.00023937499998</v>
      </c>
    </row>
    <row r="42" spans="2:13" ht="15.75" x14ac:dyDescent="0.25">
      <c r="B42" s="185">
        <v>4</v>
      </c>
      <c r="C42" s="186" t="s">
        <v>108</v>
      </c>
      <c r="D42" s="187"/>
      <c r="E42" s="188">
        <f>(F42/F7)</f>
        <v>1.9064195819793781E-2</v>
      </c>
      <c r="F42" s="195">
        <v>4</v>
      </c>
      <c r="G42" s="190"/>
      <c r="H42" s="196"/>
      <c r="I42" s="241" t="s">
        <v>128</v>
      </c>
      <c r="J42" s="242" t="s">
        <v>80</v>
      </c>
      <c r="K42" s="183">
        <f>SUM(K43:K43)</f>
        <v>239.41310307017545</v>
      </c>
    </row>
    <row r="43" spans="2:13" ht="15.75" x14ac:dyDescent="0.25">
      <c r="B43" s="56" t="s">
        <v>80</v>
      </c>
      <c r="C43" s="57" t="s">
        <v>119</v>
      </c>
      <c r="D43" s="56"/>
      <c r="E43" s="85"/>
      <c r="F43" s="60">
        <f>(F$42/1)*H43</f>
        <v>4</v>
      </c>
      <c r="G43" s="62">
        <v>1</v>
      </c>
      <c r="H43" s="150">
        <v>1</v>
      </c>
      <c r="I43" s="129" t="s">
        <v>88</v>
      </c>
      <c r="J43" s="130">
        <f>IF(I43="Líder de proyecto",Recursos!E$5,(IF(I43="Analista",Recursos!E$6,(IF(I43="Diseñador",Recursos!#REF!,(IF(I43="Tester",Recursos!E$7,(IF(I43="Desarrollador",Recursos!E$8,(IF(I43="Arquitecto",Recursos!E$12,(IF(I43="Aseguramiento de la calidad",Recursos!E$9,0)))))))))))))</f>
        <v>59.853275767543863</v>
      </c>
      <c r="K43" s="167">
        <f>F43*J43*G43</f>
        <v>239.41310307017545</v>
      </c>
    </row>
    <row r="44" spans="2:13" ht="15.75" x14ac:dyDescent="0.25">
      <c r="B44" s="185">
        <v>5</v>
      </c>
      <c r="C44" s="186" t="s">
        <v>136</v>
      </c>
      <c r="D44" s="187"/>
      <c r="E44" s="197">
        <f>(F44/F7)</f>
        <v>0.21923825192762847</v>
      </c>
      <c r="F44" s="195">
        <f>SUM(F45:F48)</f>
        <v>46</v>
      </c>
      <c r="G44" s="190"/>
      <c r="H44" s="196"/>
      <c r="I44" s="241" t="s">
        <v>137</v>
      </c>
      <c r="J44" s="242" t="s">
        <v>80</v>
      </c>
      <c r="K44" s="183">
        <f>SUM(K45:K48)</f>
        <v>1749.7255208333333</v>
      </c>
    </row>
    <row r="45" spans="2:13" ht="15.75" x14ac:dyDescent="0.25">
      <c r="B45" s="77"/>
      <c r="C45" s="175" t="s">
        <v>109</v>
      </c>
      <c r="D45" s="176"/>
      <c r="E45" s="85"/>
      <c r="F45" s="178">
        <v>12</v>
      </c>
      <c r="G45" s="179">
        <v>1</v>
      </c>
      <c r="H45" s="207">
        <f>(F45/F44)</f>
        <v>0.2608695652173913</v>
      </c>
      <c r="I45" s="129" t="s">
        <v>182</v>
      </c>
      <c r="J45" s="130">
        <f>IF(I45="Líder de proyecto",Recursos!E$5,(IF(I45="Analista",Recursos!E$6,(IF(I45="Administrador de la configuración",Recursos!E$11,(IF(I45="Tester",Recursos!E$7,(IF(I45="Desarrollador",Recursos!E$8,(IF(I45="Arquitecto",Recursos!E$12,(IF(I45="Aseguramiento de la calidad",Recursos!E$9,0)))))))))))))</f>
        <v>31.977576754385964</v>
      </c>
      <c r="K45" s="180">
        <f>F45*J45*G45</f>
        <v>383.73092105263157</v>
      </c>
    </row>
    <row r="46" spans="2:13" ht="15.75" x14ac:dyDescent="0.25">
      <c r="B46" s="67" t="s">
        <v>80</v>
      </c>
      <c r="C46" s="175" t="s">
        <v>129</v>
      </c>
      <c r="D46" s="176"/>
      <c r="E46" s="85"/>
      <c r="F46" s="178">
        <v>24</v>
      </c>
      <c r="G46" s="179">
        <v>1</v>
      </c>
      <c r="H46" s="207">
        <f>(F46/F44)</f>
        <v>0.52173913043478259</v>
      </c>
      <c r="I46" s="129" t="s">
        <v>180</v>
      </c>
      <c r="J46" s="130">
        <f>IF(I46="Líder de proyecto",Recursos!E$5,(IF(I46="Analista",Recursos!E$6,(IF(I46="Diseñador",Recursos!#REF!,(IF(I46="Tester",Recursos!E$7,(IF(I46="Desarrollador",Recursos!E$8,(IF(I46="Arquitecto",Recursos!E$12,(IF(I46="Aseguramiento de la calidad",Recursos!E$9,0)))))))))))))</f>
        <v>31.977576754385964</v>
      </c>
      <c r="K46" s="180">
        <f>F46*J46*G46</f>
        <v>767.46184210526314</v>
      </c>
    </row>
    <row r="47" spans="2:13" ht="15.75" x14ac:dyDescent="0.25">
      <c r="B47" s="67" t="s">
        <v>80</v>
      </c>
      <c r="C47" s="175" t="s">
        <v>132</v>
      </c>
      <c r="D47" s="176"/>
      <c r="E47" s="85"/>
      <c r="F47" s="178">
        <v>4</v>
      </c>
      <c r="G47" s="179">
        <v>1</v>
      </c>
      <c r="H47" s="207">
        <f>(F47/F44)</f>
        <v>8.6956521739130432E-2</v>
      </c>
      <c r="I47" s="129" t="s">
        <v>88</v>
      </c>
      <c r="J47" s="130">
        <f>IF(I47="Líder de proyecto",Recursos!E$5,(IF(I47="Analista",Recursos!E$6,(IF(I47="Diseñador",Recursos!#REF!,(IF(I47="Tester",Recursos!E$7,(IF(I47="Desarrollador",Recursos!E$8,(IF(I47="Arquitecto",Recursos!E$12,(IF(I47="Aseguramiento de la calidad",Recursos!E$9,0)))))))))))))</f>
        <v>59.853275767543863</v>
      </c>
      <c r="K47" s="180">
        <f>F47*J47*G47</f>
        <v>239.41310307017545</v>
      </c>
    </row>
    <row r="48" spans="2:13" ht="15.75" x14ac:dyDescent="0.25">
      <c r="B48" s="162" t="s">
        <v>80</v>
      </c>
      <c r="C48" s="177" t="s">
        <v>8</v>
      </c>
      <c r="D48" s="176"/>
      <c r="E48" s="85"/>
      <c r="F48" s="181">
        <v>6</v>
      </c>
      <c r="G48" s="182">
        <v>1</v>
      </c>
      <c r="H48" s="207">
        <f>(F48/F44)</f>
        <v>0.13043478260869565</v>
      </c>
      <c r="I48" s="129" t="s">
        <v>88</v>
      </c>
      <c r="J48" s="130">
        <f>IF(I48="Líder de proyecto",Recursos!E$5,(IF(I48="Analista",Recursos!E$6,(IF(I48="Diseñador",Recursos!#REF!,(IF(I48="Tester",Recursos!E$7,(IF(I48="Desarrollador",Recursos!E$8,(IF(I48="Arquitecto",Recursos!E$12,(IF(I48="Aseguramiento de la calidad",Recursos!E$9,0)))))))))))))</f>
        <v>59.853275767543863</v>
      </c>
      <c r="K48" s="180">
        <f>F48*J48*G48</f>
        <v>359.11965460526318</v>
      </c>
    </row>
    <row r="49" spans="1:12" ht="15.75" x14ac:dyDescent="0.25">
      <c r="A49" s="15"/>
      <c r="B49" s="198">
        <v>6</v>
      </c>
      <c r="C49" s="199" t="s">
        <v>156</v>
      </c>
      <c r="D49" s="200"/>
      <c r="E49" s="201"/>
      <c r="F49" s="202" t="s">
        <v>80</v>
      </c>
      <c r="G49" s="203">
        <v>1</v>
      </c>
      <c r="H49" s="204" t="s">
        <v>80</v>
      </c>
      <c r="I49" s="241" t="s">
        <v>157</v>
      </c>
      <c r="J49" s="242"/>
      <c r="K49" s="184">
        <v>20000</v>
      </c>
      <c r="L49" s="129"/>
    </row>
    <row r="50" spans="1:12" ht="63" customHeight="1" x14ac:dyDescent="0.25">
      <c r="B50" s="5"/>
      <c r="D50" s="6"/>
      <c r="E50" s="147"/>
      <c r="F50" s="5"/>
      <c r="G50" s="5"/>
      <c r="H50" s="5"/>
      <c r="I50" s="247" t="s">
        <v>120</v>
      </c>
      <c r="J50" s="247"/>
      <c r="K50" s="91">
        <f>SUM(K44+K42+K28+K15+K9+K49)</f>
        <v>31118.464047064146</v>
      </c>
    </row>
    <row r="51" spans="1:12" ht="21" x14ac:dyDescent="0.35">
      <c r="C51" s="68"/>
      <c r="D51" s="25"/>
      <c r="I51" s="145" t="s">
        <v>150</v>
      </c>
      <c r="J51" s="146"/>
      <c r="K51" s="143">
        <f>(200*F7)-K50</f>
        <v>10845.015952935857</v>
      </c>
    </row>
    <row r="52" spans="1:12" ht="21" x14ac:dyDescent="0.35">
      <c r="C52" s="68"/>
      <c r="D52" s="25"/>
      <c r="I52" s="133" t="s">
        <v>149</v>
      </c>
      <c r="J52" s="134"/>
      <c r="K52" s="135" t="s">
        <v>80</v>
      </c>
    </row>
    <row r="53" spans="1:12" ht="21" x14ac:dyDescent="0.35">
      <c r="C53" s="68"/>
      <c r="D53" s="25"/>
      <c r="I53" s="133"/>
      <c r="J53" s="134"/>
      <c r="K53" s="135">
        <v>0</v>
      </c>
    </row>
    <row r="54" spans="1:12" ht="21" x14ac:dyDescent="0.35">
      <c r="C54" s="68"/>
      <c r="D54" s="25"/>
      <c r="I54" s="133"/>
      <c r="J54" s="134"/>
      <c r="K54" s="135">
        <v>0</v>
      </c>
    </row>
    <row r="55" spans="1:12" ht="21" x14ac:dyDescent="0.35">
      <c r="C55" s="68"/>
      <c r="D55" s="25"/>
      <c r="I55" s="133"/>
      <c r="J55" s="134"/>
      <c r="K55" s="135">
        <v>0</v>
      </c>
    </row>
    <row r="56" spans="1:12" ht="21" x14ac:dyDescent="0.35">
      <c r="C56" s="68"/>
      <c r="D56" s="25"/>
      <c r="I56" s="133"/>
      <c r="J56" s="134"/>
      <c r="K56" s="135">
        <v>0</v>
      </c>
    </row>
    <row r="57" spans="1:12" ht="21" x14ac:dyDescent="0.35">
      <c r="C57" s="68"/>
      <c r="D57" s="25"/>
      <c r="I57" s="142" t="s">
        <v>146</v>
      </c>
      <c r="J57" s="142" t="s">
        <v>147</v>
      </c>
      <c r="K57" s="144">
        <f>SUM(K50:K56)</f>
        <v>41963.48</v>
      </c>
    </row>
    <row r="58" spans="1:12" x14ac:dyDescent="0.25">
      <c r="C58" s="243"/>
      <c r="D58" s="243"/>
      <c r="I58" s="63" t="s">
        <v>80</v>
      </c>
      <c r="J58" s="1" t="s">
        <v>135</v>
      </c>
      <c r="K58" s="1">
        <v>1.1599999999999999</v>
      </c>
    </row>
    <row r="59" spans="1:12" ht="21" customHeight="1" x14ac:dyDescent="0.35">
      <c r="I59" s="142" t="s">
        <v>146</v>
      </c>
      <c r="J59" s="142" t="s">
        <v>148</v>
      </c>
      <c r="K59" s="132">
        <f>K57*K58</f>
        <v>48677.6368</v>
      </c>
    </row>
    <row r="60" spans="1:12" x14ac:dyDescent="0.25">
      <c r="C60" s="17" t="s">
        <v>7</v>
      </c>
      <c r="I60" s="63" t="s">
        <v>80</v>
      </c>
    </row>
    <row r="61" spans="1:12" x14ac:dyDescent="0.25">
      <c r="I61" s="63" t="s">
        <v>80</v>
      </c>
    </row>
    <row r="89" spans="2:2" x14ac:dyDescent="0.25">
      <c r="B89" s="208" t="s">
        <v>80</v>
      </c>
    </row>
  </sheetData>
  <mergeCells count="15">
    <mergeCell ref="I44:J44"/>
    <mergeCell ref="C58:D58"/>
    <mergeCell ref="B6:K6"/>
    <mergeCell ref="I50:J50"/>
    <mergeCell ref="I9:J9"/>
    <mergeCell ref="I15:J15"/>
    <mergeCell ref="I25:J25"/>
    <mergeCell ref="I28:J28"/>
    <mergeCell ref="I31:J31"/>
    <mergeCell ref="I33:J33"/>
    <mergeCell ref="I39:J39"/>
    <mergeCell ref="I42:J42"/>
    <mergeCell ref="I16:J16"/>
    <mergeCell ref="I29:J29"/>
    <mergeCell ref="I49:J49"/>
  </mergeCells>
  <phoneticPr fontId="0" type="noConversion"/>
  <dataValidations count="3">
    <dataValidation type="whole" allowBlank="1" showInputMessage="1" showErrorMessage="1" sqref="G45:G49 G40:G41 G34:G38 G32 G30 G10:G14 G26:G27 G43 G18:G24">
      <formula1>1</formula1>
      <formula2>10</formula2>
    </dataValidation>
    <dataValidation type="list" allowBlank="1" showInputMessage="1" showErrorMessage="1" sqref="I10:I14 I17:I24 I26:I27 I30 I32 I46:I48 I40:I41 I43 I34:I38">
      <formula1>"Líder de proyecto, Analista, Arquitecto, Tester, Desarrollador, Aseguramiento de la calidad"</formula1>
    </dataValidation>
    <dataValidation type="list" allowBlank="1" showInputMessage="1" showErrorMessage="1" sqref="I45">
      <formula1>"Líder de proyecto, Analista, Arquitecto, Tester, Desarrollador,Administrador de la configuración, Aseguramiento de la calidad"</formula1>
    </dataValidation>
  </dataValidations>
  <pageMargins left="0.78740157480314965" right="0.78740157480314965" top="0.39370078740157483" bottom="0.39370078740157483" header="0" footer="0"/>
  <pageSetup paperSize="9" orientation="landscape" r:id="rId1"/>
  <headerFooter alignWithMargins="0"/>
  <ignoredErrors>
    <ignoredError sqref="K25 K31 K33 K39 K42 K44"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workbookViewId="0">
      <selection activeCell="B10" sqref="B10"/>
    </sheetView>
  </sheetViews>
  <sheetFormatPr baseColWidth="10" defaultRowHeight="12.75" x14ac:dyDescent="0.2"/>
  <cols>
    <col min="2" max="2" width="28.85546875" bestFit="1" customWidth="1"/>
    <col min="3" max="3" width="14.85546875" bestFit="1" customWidth="1"/>
    <col min="4" max="4" width="18" bestFit="1" customWidth="1"/>
    <col min="5" max="5" width="22.42578125" bestFit="1" customWidth="1"/>
  </cols>
  <sheetData>
    <row r="2" spans="2:5" x14ac:dyDescent="0.2">
      <c r="C2" t="s">
        <v>80</v>
      </c>
    </row>
    <row r="3" spans="2:5" ht="13.5" thickBot="1" x14ac:dyDescent="0.25"/>
    <row r="4" spans="2:5" x14ac:dyDescent="0.2">
      <c r="B4" s="81" t="s">
        <v>87</v>
      </c>
      <c r="C4" s="81" t="s">
        <v>92</v>
      </c>
      <c r="D4" s="81" t="s">
        <v>93</v>
      </c>
      <c r="E4" s="171" t="s">
        <v>94</v>
      </c>
    </row>
    <row r="5" spans="2:5" x14ac:dyDescent="0.2">
      <c r="B5" s="173" t="s">
        <v>88</v>
      </c>
      <c r="C5" s="92">
        <v>11788.65</v>
      </c>
      <c r="D5" s="92">
        <f>C5/30.4/8</f>
        <v>48.473067434210527</v>
      </c>
      <c r="E5" s="93">
        <f t="shared" ref="E5:E12" si="0">SUM(D5+E$27)</f>
        <v>59.853275767543863</v>
      </c>
    </row>
    <row r="6" spans="2:5" x14ac:dyDescent="0.2">
      <c r="B6" s="173" t="s">
        <v>89</v>
      </c>
      <c r="C6" s="92">
        <v>9785.6299999999992</v>
      </c>
      <c r="D6" s="92">
        <f t="shared" ref="D6:D12" si="1">C6/30.4/8</f>
        <v>40.236965460526314</v>
      </c>
      <c r="E6" s="93">
        <f t="shared" si="0"/>
        <v>51.617173793859649</v>
      </c>
    </row>
    <row r="7" spans="2:5" x14ac:dyDescent="0.2">
      <c r="B7" s="173" t="s">
        <v>90</v>
      </c>
      <c r="C7" s="92">
        <v>9785.6299999999992</v>
      </c>
      <c r="D7" s="92">
        <f t="shared" si="1"/>
        <v>40.236965460526314</v>
      </c>
      <c r="E7" s="93">
        <f t="shared" si="0"/>
        <v>51.617173793859649</v>
      </c>
    </row>
    <row r="8" spans="2:5" x14ac:dyDescent="0.2">
      <c r="B8" s="209" t="s">
        <v>179</v>
      </c>
      <c r="C8" s="92">
        <v>11788.65</v>
      </c>
      <c r="D8" s="92">
        <f t="shared" si="1"/>
        <v>48.473067434210527</v>
      </c>
      <c r="E8" s="93">
        <f t="shared" si="0"/>
        <v>59.853275767543863</v>
      </c>
    </row>
    <row r="9" spans="2:5" x14ac:dyDescent="0.2">
      <c r="B9" s="209" t="s">
        <v>180</v>
      </c>
      <c r="C9" s="92">
        <v>5009.28</v>
      </c>
      <c r="D9" s="92">
        <f t="shared" si="1"/>
        <v>20.597368421052632</v>
      </c>
      <c r="E9" s="93">
        <f t="shared" si="0"/>
        <v>31.977576754385964</v>
      </c>
    </row>
    <row r="10" spans="2:5" x14ac:dyDescent="0.2">
      <c r="B10" s="173" t="s">
        <v>91</v>
      </c>
      <c r="C10" s="92">
        <v>9176.4599999999991</v>
      </c>
      <c r="D10" s="92">
        <f t="shared" si="1"/>
        <v>37.732154605263155</v>
      </c>
      <c r="E10" s="93">
        <f t="shared" si="0"/>
        <v>49.11236293859649</v>
      </c>
    </row>
    <row r="11" spans="2:5" x14ac:dyDescent="0.2">
      <c r="B11" s="209" t="s">
        <v>182</v>
      </c>
      <c r="C11" s="92">
        <v>5009.28</v>
      </c>
      <c r="D11" s="92">
        <f t="shared" ref="D11" si="2">C11/30.4/8</f>
        <v>20.597368421052632</v>
      </c>
      <c r="E11" s="93">
        <f t="shared" si="0"/>
        <v>31.977576754385964</v>
      </c>
    </row>
    <row r="12" spans="2:5" ht="13.5" thickBot="1" x14ac:dyDescent="0.25">
      <c r="B12" s="174" t="s">
        <v>162</v>
      </c>
      <c r="C12" s="92">
        <v>11788.65</v>
      </c>
      <c r="D12" s="170">
        <f t="shared" si="1"/>
        <v>48.473067434210527</v>
      </c>
      <c r="E12" s="172">
        <f t="shared" si="0"/>
        <v>59.853275767543863</v>
      </c>
    </row>
    <row r="14" spans="2:5" ht="13.5" thickBot="1" x14ac:dyDescent="0.25"/>
    <row r="15" spans="2:5" ht="13.5" thickBot="1" x14ac:dyDescent="0.25">
      <c r="B15" s="82" t="s">
        <v>95</v>
      </c>
      <c r="C15" s="83" t="s">
        <v>86</v>
      </c>
    </row>
    <row r="16" spans="2:5" x14ac:dyDescent="0.2">
      <c r="B16" s="80" t="s">
        <v>96</v>
      </c>
      <c r="C16" s="93">
        <v>2800</v>
      </c>
    </row>
    <row r="17" spans="2:5" x14ac:dyDescent="0.2">
      <c r="B17" s="80" t="s">
        <v>97</v>
      </c>
      <c r="C17" s="93">
        <v>1600</v>
      </c>
    </row>
    <row r="18" spans="2:5" x14ac:dyDescent="0.2">
      <c r="B18" s="80" t="s">
        <v>130</v>
      </c>
      <c r="C18" s="93">
        <v>1700</v>
      </c>
    </row>
    <row r="19" spans="2:5" x14ac:dyDescent="0.2">
      <c r="B19" s="80" t="s">
        <v>98</v>
      </c>
      <c r="C19" s="93">
        <v>12000</v>
      </c>
    </row>
    <row r="20" spans="2:5" x14ac:dyDescent="0.2">
      <c r="B20" s="80" t="s">
        <v>99</v>
      </c>
      <c r="C20" s="93">
        <v>1750</v>
      </c>
    </row>
    <row r="21" spans="2:5" x14ac:dyDescent="0.2">
      <c r="B21" s="80" t="s">
        <v>100</v>
      </c>
      <c r="C21" s="93">
        <v>200</v>
      </c>
    </row>
    <row r="22" spans="2:5" ht="13.5" thickBot="1" x14ac:dyDescent="0.25">
      <c r="B22" s="80" t="s">
        <v>131</v>
      </c>
      <c r="C22" s="93">
        <v>1800</v>
      </c>
    </row>
    <row r="23" spans="2:5" ht="13.5" thickBot="1" x14ac:dyDescent="0.25">
      <c r="B23" s="84" t="s">
        <v>101</v>
      </c>
      <c r="C23" s="94">
        <f>SUM(C16:C22)</f>
        <v>21850</v>
      </c>
    </row>
    <row r="26" spans="2:5" ht="13.5" thickBot="1" x14ac:dyDescent="0.25"/>
    <row r="27" spans="2:5" ht="13.5" thickBot="1" x14ac:dyDescent="0.25">
      <c r="B27" s="78" t="s">
        <v>102</v>
      </c>
      <c r="C27" s="79">
        <v>8</v>
      </c>
      <c r="D27" s="78" t="s">
        <v>103</v>
      </c>
      <c r="E27" s="95">
        <f>((C23/C27)/30/8)</f>
        <v>11.380208333333334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1BF059D-5B27-49EC-990E-9B2C61BF22F9}">
  <ds:schemaRefs>
    <ds:schemaRef ds:uri="http://schemas.microsoft.com/office/2006/metadata/properties"/>
    <ds:schemaRef ds:uri="http://purl.org/dc/terms/"/>
    <ds:schemaRef ds:uri="http://schemas.microsoft.com/office/2006/documentManagement/types"/>
    <ds:schemaRef ds:uri="http://purl.org/dc/elements/1.1/"/>
    <ds:schemaRef ds:uri="http://schemas.openxmlformats.org/package/2006/metadata/core-properties"/>
    <ds:schemaRef ds:uri="035E5738-9077-49AA-867C-265905AEBD06"/>
    <ds:schemaRef ds:uri="http://www.w3.org/XML/1998/namespace"/>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3.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4.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jesus.moreno</cp:lastModifiedBy>
  <cp:lastPrinted>2007-09-19T15:25:33Z</cp:lastPrinted>
  <dcterms:created xsi:type="dcterms:W3CDTF">2001-07-30T17:19:04Z</dcterms:created>
  <dcterms:modified xsi:type="dcterms:W3CDTF">2012-10-26T16:41:00Z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