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1. Plantillas estimacion\"/>
    </mc:Choice>
  </mc:AlternateContent>
  <bookViews>
    <workbookView xWindow="6810" yWindow="-105" windowWidth="8490" windowHeight="7425" tabRatio="711" activeTab="3"/>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F3" i="26" l="1"/>
  <c r="D2" i="26"/>
  <c r="G3" i="35"/>
  <c r="J49" i="26" l="1"/>
  <c r="K49" i="26" s="1"/>
  <c r="J43" i="26"/>
  <c r="K43" i="26" s="1"/>
  <c r="H15" i="26"/>
  <c r="F47" i="26" l="1"/>
  <c r="F31" i="26"/>
  <c r="F25" i="26"/>
  <c r="J54" i="26"/>
  <c r="K54" i="26" s="1"/>
  <c r="J53" i="26"/>
  <c r="K53" i="26" s="1"/>
  <c r="J52" i="26"/>
  <c r="K52" i="26" s="1"/>
  <c r="J51" i="26"/>
  <c r="K51" i="26" s="1"/>
  <c r="F50" i="26"/>
  <c r="H53" i="26" s="1"/>
  <c r="J48" i="26"/>
  <c r="K48" i="26" s="1"/>
  <c r="K47" i="26" s="1"/>
  <c r="J46" i="26"/>
  <c r="K46" i="26" s="1"/>
  <c r="J45" i="26"/>
  <c r="K45" i="26" s="1"/>
  <c r="K44" i="26" s="1"/>
  <c r="F44" i="26"/>
  <c r="J42" i="26"/>
  <c r="K42" i="26" s="1"/>
  <c r="J41" i="26"/>
  <c r="K41" i="26" s="1"/>
  <c r="J40" i="26"/>
  <c r="K40" i="26" s="1"/>
  <c r="J39" i="26"/>
  <c r="K39" i="26" s="1"/>
  <c r="F38" i="26"/>
  <c r="J37" i="26"/>
  <c r="K37" i="26" s="1"/>
  <c r="K36" i="26" s="1"/>
  <c r="F36" i="26"/>
  <c r="J35" i="26"/>
  <c r="K35" i="26" s="1"/>
  <c r="J34" i="26"/>
  <c r="K34" i="26" s="1"/>
  <c r="J33" i="26"/>
  <c r="K33" i="26" s="1"/>
  <c r="J32" i="26"/>
  <c r="K32" i="26" s="1"/>
  <c r="J29" i="26"/>
  <c r="K29" i="26" s="1"/>
  <c r="K28" i="26"/>
  <c r="J28" i="26"/>
  <c r="J27" i="26"/>
  <c r="K27" i="26" s="1"/>
  <c r="J26" i="26"/>
  <c r="K26" i="26" s="1"/>
  <c r="J24" i="26"/>
  <c r="K24" i="26" s="1"/>
  <c r="J23" i="26"/>
  <c r="K23" i="26" s="1"/>
  <c r="J22" i="26"/>
  <c r="K22" i="26" s="1"/>
  <c r="J21" i="26"/>
  <c r="K21" i="26" s="1"/>
  <c r="J20" i="26"/>
  <c r="K20" i="26" s="1"/>
  <c r="J19" i="26"/>
  <c r="K19" i="26" s="1"/>
  <c r="J18" i="26"/>
  <c r="K18" i="26" s="1"/>
  <c r="F17" i="26"/>
  <c r="J15" i="26"/>
  <c r="K15" i="26" s="1"/>
  <c r="J14" i="26"/>
  <c r="K14" i="26" s="1"/>
  <c r="J13" i="26"/>
  <c r="K13" i="26" s="1"/>
  <c r="J12" i="26"/>
  <c r="K12" i="26" s="1"/>
  <c r="J11" i="26"/>
  <c r="K11" i="26" s="1"/>
  <c r="J10" i="26"/>
  <c r="K10" i="26" s="1"/>
  <c r="K9" i="26" s="1"/>
  <c r="F9" i="26"/>
  <c r="H14" i="26" s="1"/>
  <c r="K31" i="26" l="1"/>
  <c r="K38" i="26"/>
  <c r="K17" i="26"/>
  <c r="K16" i="26" s="1"/>
  <c r="K25" i="26"/>
  <c r="H52" i="26"/>
  <c r="H54" i="26"/>
  <c r="F16" i="26"/>
  <c r="H29" i="26" s="1"/>
  <c r="H13" i="26"/>
  <c r="H11" i="26"/>
  <c r="K30" i="26"/>
  <c r="K50" i="26"/>
  <c r="H22" i="26"/>
  <c r="H10" i="26"/>
  <c r="H12" i="26"/>
  <c r="F30" i="26"/>
  <c r="H51" i="26"/>
  <c r="H23" i="26" l="1"/>
  <c r="H19" i="26"/>
  <c r="H18" i="26"/>
  <c r="H27" i="26"/>
  <c r="H26" i="26"/>
  <c r="H21" i="26"/>
  <c r="H28" i="26"/>
  <c r="H20" i="26"/>
  <c r="H24" i="26"/>
  <c r="K56" i="26"/>
  <c r="H43" i="26"/>
  <c r="H41" i="26"/>
  <c r="H39" i="26"/>
  <c r="H37" i="26"/>
  <c r="H35" i="26"/>
  <c r="H33" i="26"/>
  <c r="H42" i="26"/>
  <c r="H40" i="26"/>
  <c r="H34" i="26"/>
  <c r="H32" i="26"/>
  <c r="F7" i="26"/>
  <c r="K57" i="26" l="1"/>
  <c r="K63" i="26" s="1"/>
  <c r="K65" i="26" s="1"/>
  <c r="E50" i="26"/>
  <c r="E44" i="26"/>
  <c r="E38" i="26"/>
  <c r="E36" i="26"/>
  <c r="E9" i="26"/>
  <c r="E31" i="26"/>
  <c r="E47" i="26"/>
  <c r="E16" i="26"/>
  <c r="E30" i="26" l="1"/>
  <c r="D11" i="40"/>
  <c r="F9" i="35" l="1"/>
  <c r="F10" i="35"/>
  <c r="F11" i="35"/>
  <c r="F12" i="35"/>
  <c r="F13" i="35"/>
  <c r="F14" i="35"/>
  <c r="F15" i="35"/>
  <c r="F16" i="35"/>
  <c r="F8" i="35"/>
  <c r="D12" i="40"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14" i="35"/>
  <c r="G8" i="35"/>
  <c r="E12" i="40" l="1"/>
  <c r="E11" i="40"/>
  <c r="E5" i="40"/>
  <c r="E10" i="40"/>
  <c r="E9" i="40"/>
  <c r="E6" i="40"/>
  <c r="E7" i="40"/>
  <c r="E8" i="40"/>
  <c r="F38" i="37"/>
  <c r="F24" i="37"/>
  <c r="H9" i="37"/>
  <c r="H28" i="37"/>
  <c r="D4" i="26"/>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<sst xmlns="http://schemas.openxmlformats.org/spreadsheetml/2006/main" count="336" uniqueCount="200">
  <si>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</si>
  <si>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</si>
  <si>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</si>
  <si>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</si>
  <si>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</si>
  <si>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</si>
  <si>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</si>
  <si>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</si>
  <si>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</si>
  <si>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</si>
  <si>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</si>
  <si>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</si>
  <si>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</si>
  <si>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</si>
  <si>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</si>
  <si>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</si>
  <si>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</si>
  <si>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</si>
  <si>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</si>
  <si>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</si>
  <si>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</si>
  <si>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</si>
  <si>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</si>
  <si>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</si>
  <si>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</si>
  <si>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</si>
  <si>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</si>
  <si>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</si>
  <si>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</si>
  <si>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</si>
  <si>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</si>
  <si>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</si>
  <si>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</si>
  <si>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</si>
  <si>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</si>
  <si>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</si>
  <si>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</si>
  <si>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</si>
  <si>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</si>
  <si>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</si>
  <si>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</si>
  <si>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</si>
  <si>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</si>
  <si>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</si>
  <si>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</si>
  <si>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</si>
  <si>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</si>
  <si>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</si>
  <si>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</si>
  <si>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</si>
  <si>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</si>
  <si>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</si>
  <si>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</si>
  <si>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</si>
  <si>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</si>
  <si>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</si>
  <si>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</si>
  <si>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</si>
  <si>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</si>
  <si>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</si>
  <si>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</si>
  <si>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</si>
  <si>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</si>
  <si>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</si>
  <si>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</si>
  <si>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</si>
  <si>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</si>
  <si>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</si>
  <si>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</si>
  <si>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</si>
  <si>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</si>
  <si>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</si>
  <si>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</si>
  <si>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</si>
  <si>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</si>
  <si>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</si>
  <si>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</si>
  <si>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</si>
  <si>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</si>
  <si>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</si>
  <si>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</si>
  <si>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</si>
  <si>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</si>
  <si>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</si>
  <si>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</si>
  <si>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</si>
  <si>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</si>
  <si>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</si>
  <si>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</si>
  <si>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</si>
  <si>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</si>
  <si>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</si>
  <si>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</si>
  <si>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</si>
  <si>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</si>
  <si>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</si>
  <si>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</si>
  <si>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</si>
  <si>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</si>
  <si>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</si>
  <si>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</si>
  <si>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</si>
  <si>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</si>
  <si>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</si>
  <si>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</si>
  <si>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</si>
  <si>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</si>
  <si>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</si>
  <si>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</si>
  <si>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</si>
  <si>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</si>
  <si>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</si>
  <si>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</si>
  <si>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</si>
  <si>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</si>
  <si>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</si>
  <si>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</si>
  <si>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</si>
  <si>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</si>
  <si>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</si>
  <si>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</si>
  <si>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</si>
  <si>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</si>
  <si>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</si>
  <si>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</si>
  <si>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</si>
  <si>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</si>
  <si>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</si>
  <si>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</si>
  <si>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</si>
  <si>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</si>
  <si>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</si>
  <si>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</si>
  <si>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</si>
  <si>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</si>
  <si>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</si>
  <si>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</si>
  <si>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</si>
  <si>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</si>
  <si>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</si>
  <si>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</si>
  <si>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</si>
  <si>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</si>
  <si>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</si>
  <si>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</si>
  <si>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</si>
  <si>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</si>
  <si>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</si>
  <si>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</si>
  <si>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</si>
  <si>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</si>
  <si>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</si>
  <si>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</si>
  <si>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</si>
  <si>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</si>
  <si>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</si>
  <si>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</si>
  <si>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</si>
  <si>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</si>
  <si>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</si>
  <si>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</si>
  <si>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</si>
  <si>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</si>
  <si>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</si>
  <si>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</si>
  <si>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</si>
  <si>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</si>
  <si>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</si>
  <si>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</si>
  <si>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</si>
  <si>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</si>
  <si>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</si>
  <si>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</si>
  <si>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Desarrollador</t>
  </si>
  <si>
    <t>Aseguramiento de la calidad</t>
  </si>
  <si>
    <t>Administrador de la configuración</t>
  </si>
  <si>
    <t>Verifcar casos de uso</t>
  </si>
  <si>
    <t>Identificar riesgos ambientes y tecnicos que afectaran al proyecto</t>
  </si>
  <si>
    <t>Aprobar propuesta comercial</t>
  </si>
  <si>
    <t>Ejectuar el proceso de riesgos</t>
  </si>
  <si>
    <t>Estableer adaptaciones del proyecto</t>
  </si>
  <si>
    <t>Definir el plan de pruebas</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</si>
  <si>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</si>
  <si>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</si>
  <si>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</si>
  <si>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</si>
  <si>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</si>
  <si>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</si>
  <si>
    <t>Codificar la pagina</t>
  </si>
  <si>
    <t>15</t>
  </si>
  <si>
    <t>Manejo de usuarios</t>
  </si>
  <si>
    <t>Administracion de proyectos y areas de proyectos</t>
  </si>
  <si>
    <t>Administracion viaticos por proyecto</t>
  </si>
  <si>
    <t>Administracion de gastos</t>
  </si>
  <si>
    <t>Generacion de reportes</t>
  </si>
  <si>
    <t>Intermedio</t>
  </si>
  <si>
    <t>No</t>
  </si>
  <si>
    <t>Aprobación del plan de proyecto</t>
  </si>
  <si>
    <t>Corrección de los defectos</t>
  </si>
  <si>
    <t xml:space="preserve">Verificación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</si>
</sst>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7" fillId="0" borderId="0" applyFont="0" applyFill="0" applyBorder="0" applyAlignment="0" applyProtection="0"/>
    <xf numFmtId="0" fontId="46" fillId="0" borderId="0"/>
    <xf numFmtId="9" fontId="27" fillId="0" borderId="0" applyFont="0" applyFill="0" applyBorder="0" applyAlignment="0" applyProtection="0"/>
  </cellStyleXfs>
  <cellXfs count="250">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9" fillId="0" borderId="0" xfId="0" applyFont="1"/>
    <xf numFmtId="0" fontId="1" fillId="2" borderId="3" xfId="0" applyFont="1" applyFill="1" applyBorder="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8" fillId="0" borderId="6" xfId="0" applyNumberFormat="1" applyFont="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20" fillId="13" borderId="5" xfId="0" applyFont="1" applyFill="1" applyBorder="1" applyAlignment="1">
      <alignment horizontal="center"/>
    </xf>
    <xf numFmtId="0" fontId="23" fillId="13" borderId="0" xfId="0" applyFont="1" applyFill="1" applyBorder="1" applyAlignment="1">
      <alignment horizontal="right"/>
    </xf>
    <xf numFmtId="0" fontId="23" fillId="13" borderId="6" xfId="0" applyFont="1" applyFill="1" applyBorder="1" applyAlignment="1">
      <alignment horizontal="right"/>
    </xf>
    <xf numFmtId="0" fontId="9" fillId="12" borderId="11" xfId="0" applyFont="1" applyFill="1" applyBorder="1" applyAlignment="1">
      <alignment horizontal="center" wrapText="1"/>
    </xf>
    <xf numFmtId="0" fontId="9" fillId="12" borderId="11" xfId="0" applyFont="1" applyFill="1" applyBorder="1" applyAlignment="1">
      <alignment horizontal="left"/>
    </xf>
    <xf numFmtId="0" fontId="9" fillId="12" borderId="11" xfId="0" applyFont="1" applyFill="1" applyBorder="1" applyAlignment="1">
      <alignment horizontal="center"/>
    </xf>
    <xf numFmtId="0" fontId="10" fillId="12" borderId="9" xfId="0" applyFont="1" applyFill="1" applyBorder="1" applyAlignment="1">
      <alignment horizontal="right"/>
    </xf>
    <xf numFmtId="0" fontId="10" fillId="12" borderId="12" xfId="0" applyFont="1" applyFill="1" applyBorder="1" applyAlignment="1">
      <alignment horizontal="right"/>
    </xf>
    <xf numFmtId="0" fontId="10" fillId="12" borderId="12" xfId="0" applyFont="1" applyFill="1" applyBorder="1" applyAlignment="1">
      <alignment horizontal="center"/>
    </xf>
    <xf numFmtId="0" fontId="10" fillId="12" borderId="10" xfId="0" applyFont="1" applyFill="1" applyBorder="1" applyAlignment="1">
      <alignment horizontal="right"/>
    </xf>
    <xf numFmtId="0" fontId="15" fillId="3" borderId="3" xfId="0" applyFont="1" applyFill="1" applyBorder="1" applyAlignment="1">
      <alignment horizontal="center"/>
    </xf>
    <xf numFmtId="0" fontId="15" fillId="3" borderId="0" xfId="0" applyFont="1" applyFill="1" applyBorder="1" applyAlignment="1">
      <alignment horizontal="center"/>
    </xf>
    <xf numFmtId="0" fontId="15" fillId="5" borderId="3" xfId="0" applyFont="1" applyFill="1" applyBorder="1" applyAlignment="1">
      <alignment horizontal="center"/>
    </xf>
    <xf numFmtId="0" fontId="15" fillId="5" borderId="0" xfId="0" applyFont="1" applyFill="1" applyBorder="1" applyAlignment="1">
      <alignment horizontal="center"/>
    </xf>
    <xf numFmtId="0" fontId="15" fillId="5" borderId="8" xfId="0" applyFont="1" applyFill="1" applyBorder="1" applyAlignment="1">
      <alignment horizontal="center"/>
    </xf>
    <xf numFmtId="0" fontId="9" fillId="12" borderId="12" xfId="0" applyFont="1" applyFill="1" applyBorder="1" applyAlignment="1">
      <alignment horizontal="right"/>
    </xf>
    <xf numFmtId="0" fontId="10" fillId="3" borderId="1" xfId="0" applyFont="1" applyFill="1" applyBorder="1" applyAlignment="1">
      <alignment horizontal="center" wrapText="1"/>
    </xf>
    <xf numFmtId="0" fontId="10" fillId="3" borderId="1" xfId="0" applyFont="1" applyFill="1" applyBorder="1" applyAlignment="1">
      <alignment horizontal="left" wrapText="1"/>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1" fontId="8" fillId="7" borderId="5" xfId="0" applyNumberFormat="1" applyFont="1" applyFill="1" applyBorder="1" applyAlignment="1">
      <alignment horizontal="center"/>
    </xf>
    <xf numFmtId="0" fontId="25" fillId="7" borderId="5" xfId="0" applyNumberFormat="1" applyFont="1" applyFill="1" applyBorder="1" applyAlignment="1">
      <alignment horizontal="center"/>
    </xf>
    <xf numFmtId="165" fontId="27" fillId="12" borderId="6" xfId="0" applyNumberFormat="1" applyFont="1" applyFill="1" applyBorder="1"/>
    <xf numFmtId="165" fontId="27" fillId="7" borderId="6" xfId="0" applyNumberFormat="1" applyFont="1" applyFill="1" applyBorder="1"/>
    <xf numFmtId="165" fontId="27" fillId="8" borderId="6" xfId="0" applyNumberFormat="1" applyFont="1" applyFill="1" applyBorder="1"/>
    <xf numFmtId="0" fontId="8" fillId="0" borderId="0" xfId="2" applyFont="1"/>
    <xf numFmtId="0" fontId="7" fillId="2" borderId="5" xfId="2" applyFont="1" applyFill="1" applyBorder="1" applyAlignment="1">
      <alignment horizontal="center"/>
    </xf>
    <xf numFmtId="2" fontId="25" fillId="2" borderId="5" xfId="2" applyNumberFormat="1" applyFont="1" applyFill="1" applyBorder="1" applyAlignment="1">
      <alignment horizontal="center"/>
    </xf>
    <xf numFmtId="1" fontId="25" fillId="2" borderId="5" xfId="2" applyNumberFormat="1" applyFont="1" applyFill="1" applyBorder="1" applyAlignment="1">
      <alignment horizontal="center"/>
    </xf>
    <xf numFmtId="0" fontId="25" fillId="2" borderId="5" xfId="3" applyNumberFormat="1" applyFont="1" applyFill="1" applyBorder="1" applyAlignment="1">
      <alignment horizontal="center"/>
    </xf>
    <xf numFmtId="9" fontId="25" fillId="3" borderId="14" xfId="3" applyFont="1" applyFill="1" applyBorder="1" applyAlignment="1">
      <alignment horizontal="center"/>
    </xf>
    <xf numFmtId="0" fontId="27" fillId="0" borderId="0" xfId="0" applyFont="1"/>
    <xf numFmtId="0" fontId="20" fillId="12" borderId="1" xfId="0" applyNumberFormat="1" applyFont="1" applyFill="1" applyBorder="1" applyAlignment="1">
      <alignment horizontal="center" vertical="center"/>
    </xf>
    <xf numFmtId="0" fontId="18" fillId="13" borderId="0" xfId="0" applyFont="1" applyFill="1" applyAlignment="1">
      <alignment horizontal="center" vertical="center"/>
    </xf>
    <xf numFmtId="0" fontId="18" fillId="13" borderId="0" xfId="0" applyFont="1" applyFill="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24" fillId="13" borderId="2" xfId="0" applyFont="1" applyFill="1" applyBorder="1" applyAlignment="1">
      <alignment horizontal="center"/>
    </xf>
    <xf numFmtId="0" fontId="24" fillId="13" borderId="3" xfId="0" applyFont="1" applyFill="1" applyBorder="1" applyAlignment="1">
      <alignment horizontal="center"/>
    </xf>
    <xf numFmtId="0" fontId="24" fillId="13" borderId="4" xfId="0" applyFont="1" applyFill="1" applyBorder="1" applyAlignment="1">
      <alignment horizontal="center"/>
    </xf>
    <xf numFmtId="0" fontId="9" fillId="12" borderId="9" xfId="0" applyFont="1" applyFill="1" applyBorder="1" applyAlignment="1">
      <alignment horizontal="center"/>
    </xf>
    <xf numFmtId="0" fontId="9" fillId="12" borderId="10" xfId="0" applyFont="1" applyFill="1" applyBorder="1" applyAlignment="1">
      <alignment horizontal="center"/>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0" fillId="12" borderId="9" xfId="0" applyNumberFormat="1" applyFont="1" applyFill="1" applyBorder="1" applyAlignment="1">
      <alignment horizontal="center" vertical="center"/>
    </xf>
    <xf numFmtId="0" fontId="20" fillId="12" borderId="10" xfId="0" applyNumberFormat="1" applyFont="1" applyFill="1" applyBorder="1" applyAlignment="1">
      <alignment horizontal="center" vertical="center"/>
    </xf>
    <xf numFmtId="0" fontId="10" fillId="3" borderId="2" xfId="0" applyFont="1" applyFill="1" applyBorder="1" applyAlignment="1">
      <alignment horizontal="center"/>
    </xf>
    <xf numFmtId="0" fontId="10" fillId="3" borderId="4" xfId="0" applyFont="1" applyFill="1" applyBorder="1" applyAlignment="1">
      <alignment horizontal="center"/>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10" fillId="3" borderId="5" xfId="0" applyFont="1" applyFill="1" applyBorder="1" applyAlignment="1">
      <alignment horizontal="center"/>
    </xf>
    <xf numFmtId="0" fontId="10" fillId="3" borderId="0" xfId="0" applyFont="1" applyFill="1" applyBorder="1" applyAlignment="1">
      <alignment horizontal="center"/>
    </xf>
    <xf numFmtId="0" fontId="9" fillId="3" borderId="12" xfId="0" applyFont="1" applyFill="1" applyBorder="1" applyAlignment="1">
      <alignment horizontal="left" vertical="center" wrapText="1"/>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33" fillId="6" borderId="0" xfId="0" applyFont="1" applyFill="1" applyAlignment="1">
      <alignment horizontal="center" vertical="center" wrapText="1"/>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cellXfs>
  <cellStyles count="4">
    <cellStyle name="Normal" xfId="0" builtinId="0"/>
    <cellStyle name="Normal 2" xfId="2"/>
    <cellStyle name="Porcentaje" xfId="1" builtinId="5"/>
    <cellStyle name="Porcentaje 2" xfId="3"/>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user/Documents/IWM/Repositorio%20IWM/Organizaci&#243;n/Procesos/Ciclo%20de%20vida%20IWM/2.%20Estimaci&#243;n%20y%20Planeaci&#243;n/Plantillas%20estimaci&#243;n/PTLL_Estimaci&#243;n_Esfuer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Factor de complejidad Téc y Amb"/>
      <sheetName val="Estimación de Tamaño UCP"/>
      <sheetName val="Estimación de Esfuerzo"/>
      <sheetName val="Recursos"/>
    </sheetNames>
    <sheetDataSet>
      <sheetData sheetId="0"/>
      <sheetData sheetId="1"/>
      <sheetData sheetId="2"/>
      <sheetData sheetId="3"/>
      <sheetData sheetId="4">
        <row r="5">
          <cell r="E5">
            <v>59.853275767543863</v>
          </cell>
        </row>
        <row r="6">
          <cell r="E6">
            <v>51.617173793859649</v>
          </cell>
        </row>
        <row r="7">
          <cell r="E7">
            <v>51.617173793859649</v>
          </cell>
        </row>
        <row r="8">
          <cell r="E8">
            <v>59.853275767543863</v>
          </cell>
        </row>
        <row r="9">
          <cell r="E9">
            <v>31.977576754385964</v>
          </cell>
        </row>
        <row r="11">
          <cell r="E11">
            <v>31.977576754385964</v>
          </cell>
        </row>
        <row r="12">
          <cell r="E12">
            <v>59.853275767543863</v>
          </cell>
        </row>
      </sheetData>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A2" workbookViewId="0">
      <selection activeCell="C9" sqref="C9"/>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94" customFormat="1" ht="26.25" x14ac:dyDescent="0.4">
      <c r="A2" s="193"/>
      <c r="B2" s="214" t="s">
        <v>139</v>
      </c>
      <c r="C2" s="214"/>
      <c r="D2" s="215" t="s">
        <v>140</v>
      </c>
      <c r="E2" s="215"/>
      <c r="F2" s="215"/>
      <c r="G2" s="215"/>
    </row>
    <row r="4" spans="1:7" s="192" customFormat="1" ht="26.25" x14ac:dyDescent="0.4">
      <c r="A4" s="191"/>
      <c r="B4" s="195" t="s">
        <v>84</v>
      </c>
      <c r="C4" s="191"/>
      <c r="D4" s="191"/>
      <c r="E4" s="191"/>
      <c r="F4" s="191"/>
    </row>
    <row r="5" spans="1:7" x14ac:dyDescent="0.25">
      <c r="B5" s="1" t="s">
        <v>80</v>
      </c>
    </row>
    <row r="7" spans="1:7" ht="23.25" x14ac:dyDescent="0.35">
      <c r="B7" s="30" t="s">
        <v>77</v>
      </c>
      <c r="C7" s="30" t="s">
        <v>4</v>
      </c>
    </row>
    <row r="8" spans="1:7" ht="75" x14ac:dyDescent="0.25">
      <c r="B8" s="29" t="s">
        <v>9</v>
      </c>
      <c r="C8" s="28" t="s">
        <v>73</v>
      </c>
    </row>
    <row r="9" spans="1:7" ht="75" x14ac:dyDescent="0.25">
      <c r="B9" s="29" t="s">
        <v>68</v>
      </c>
      <c r="C9" s="28" t="s">
        <v>81</v>
      </c>
    </row>
    <row r="10" spans="1:7" ht="75" x14ac:dyDescent="0.25">
      <c r="B10" s="29" t="s">
        <v>69</v>
      </c>
      <c r="C10" s="28" t="s">
        <v>10</v>
      </c>
    </row>
    <row r="12" spans="1:7" s="192" customFormat="1" ht="26.25" x14ac:dyDescent="0.4">
      <c r="A12" s="191"/>
      <c r="B12" s="195" t="s">
        <v>83</v>
      </c>
      <c r="C12" s="191"/>
      <c r="D12" s="191"/>
      <c r="E12" s="191"/>
      <c r="F12" s="191"/>
    </row>
    <row r="13" spans="1:7" x14ac:dyDescent="0.25">
      <c r="B13" s="3" t="s">
        <v>141</v>
      </c>
    </row>
    <row r="14" spans="1:7" x14ac:dyDescent="0.25">
      <c r="B14" s="3" t="s">
        <v>79</v>
      </c>
    </row>
    <row r="16" spans="1:7" ht="24" thickBot="1" x14ac:dyDescent="0.4">
      <c r="B16" s="30" t="s">
        <v>74</v>
      </c>
      <c r="C16" s="31" t="s">
        <v>4</v>
      </c>
    </row>
    <row r="17" spans="1:256" x14ac:dyDescent="0.25">
      <c r="B17" s="41" t="s">
        <v>23</v>
      </c>
      <c r="C17" s="34" t="s">
        <v>11</v>
      </c>
    </row>
    <row r="18" spans="1:256" x14ac:dyDescent="0.25">
      <c r="B18" s="40" t="s">
        <v>24</v>
      </c>
      <c r="C18" s="35" t="s">
        <v>17</v>
      </c>
    </row>
    <row r="19" spans="1:256" x14ac:dyDescent="0.25">
      <c r="B19" s="40" t="s">
        <v>25</v>
      </c>
      <c r="C19" s="35" t="s">
        <v>18</v>
      </c>
    </row>
    <row r="20" spans="1:256" x14ac:dyDescent="0.25">
      <c r="A20" s="15"/>
      <c r="B20" s="27" t="s">
        <v>26</v>
      </c>
      <c r="C20" s="42" t="s">
        <v>19</v>
      </c>
    </row>
    <row r="21" spans="1:256" x14ac:dyDescent="0.25">
      <c r="A21" s="43"/>
      <c r="B21" s="27" t="s">
        <v>27</v>
      </c>
      <c r="C21" s="39" t="s">
        <v>20</v>
      </c>
    </row>
    <row r="22" spans="1:256" x14ac:dyDescent="0.25">
      <c r="A22" s="15"/>
      <c r="B22" s="27" t="s">
        <v>28</v>
      </c>
      <c r="C22" s="42" t="s">
        <v>12</v>
      </c>
    </row>
    <row r="23" spans="1:256" x14ac:dyDescent="0.25">
      <c r="A23" s="15"/>
      <c r="B23" s="27" t="s">
        <v>29</v>
      </c>
      <c r="C23" s="39" t="s">
        <v>13</v>
      </c>
    </row>
    <row r="24" spans="1:256" x14ac:dyDescent="0.25">
      <c r="A24" s="15"/>
      <c r="B24" s="27" t="s">
        <v>30</v>
      </c>
      <c r="C24" s="42" t="s">
        <v>14</v>
      </c>
    </row>
    <row r="25" spans="1:256" x14ac:dyDescent="0.25">
      <c r="A25" s="15"/>
      <c r="B25" s="27" t="s">
        <v>31</v>
      </c>
      <c r="C25" s="39" t="s">
        <v>71</v>
      </c>
    </row>
    <row r="26" spans="1:256" x14ac:dyDescent="0.25">
      <c r="A26" s="15"/>
      <c r="B26" s="27" t="s">
        <v>32</v>
      </c>
      <c r="C26" s="33" t="s">
        <v>15</v>
      </c>
    </row>
    <row r="27" spans="1:256" x14ac:dyDescent="0.25">
      <c r="A27" s="15"/>
      <c r="B27" s="26" t="s">
        <v>33</v>
      </c>
      <c r="C27" s="33" t="s">
        <v>21</v>
      </c>
      <c r="D27" s="6"/>
    </row>
    <row r="28" spans="1:256" x14ac:dyDescent="0.25">
      <c r="B28" s="37" t="s">
        <v>34</v>
      </c>
      <c r="C28" s="33" t="s">
        <v>75</v>
      </c>
      <c r="D28" s="6"/>
    </row>
    <row r="29" spans="1:256" ht="15.75" thickBot="1" x14ac:dyDescent="0.3">
      <c r="B29" s="38" t="s">
        <v>35</v>
      </c>
      <c r="C29" s="44" t="s">
        <v>22</v>
      </c>
    </row>
    <row r="31" spans="1:256" s="192" customFormat="1" ht="26.25" x14ac:dyDescent="0.4">
      <c r="A31" s="191"/>
      <c r="B31" s="195" t="s">
        <v>82</v>
      </c>
      <c r="C31" s="191"/>
      <c r="D31" s="191"/>
      <c r="E31" s="191"/>
      <c r="F31" s="191"/>
    </row>
    <row r="32" spans="1:256" x14ac:dyDescent="0.25">
      <c r="A32" s="3"/>
      <c r="B32" s="3" t="s">
        <v>171</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79</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45" t="s">
        <v>61</v>
      </c>
      <c r="C35" s="31" t="s">
        <v>4</v>
      </c>
    </row>
    <row r="36" spans="1:256" x14ac:dyDescent="0.25">
      <c r="B36" s="41" t="s">
        <v>40</v>
      </c>
      <c r="C36" s="46" t="s">
        <v>48</v>
      </c>
    </row>
    <row r="37" spans="1:256" x14ac:dyDescent="0.25">
      <c r="B37" s="29" t="s">
        <v>41</v>
      </c>
      <c r="C37" s="33" t="s">
        <v>50</v>
      </c>
    </row>
    <row r="38" spans="1:256" x14ac:dyDescent="0.25">
      <c r="B38" s="36" t="s">
        <v>42</v>
      </c>
      <c r="C38" s="35" t="s">
        <v>51</v>
      </c>
    </row>
    <row r="39" spans="1:256" x14ac:dyDescent="0.25">
      <c r="B39" s="40" t="s">
        <v>43</v>
      </c>
      <c r="C39" s="47" t="s">
        <v>72</v>
      </c>
    </row>
    <row r="40" spans="1:256" x14ac:dyDescent="0.25">
      <c r="B40" s="29" t="s">
        <v>44</v>
      </c>
      <c r="C40" s="33" t="s">
        <v>52</v>
      </c>
    </row>
    <row r="41" spans="1:256" x14ac:dyDescent="0.25">
      <c r="B41" s="36" t="s">
        <v>45</v>
      </c>
      <c r="C41" s="32" t="s">
        <v>53</v>
      </c>
    </row>
    <row r="42" spans="1:256" x14ac:dyDescent="0.25">
      <c r="B42" s="36" t="s">
        <v>46</v>
      </c>
      <c r="C42" s="32" t="s">
        <v>54</v>
      </c>
    </row>
    <row r="43" spans="1:256" ht="15.75" thickBot="1" x14ac:dyDescent="0.3">
      <c r="B43" s="49" t="s">
        <v>47</v>
      </c>
      <c r="C43" s="48"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zoomScale="80" zoomScaleNormal="80" workbookViewId="0">
      <selection activeCell="F11" sqref="F11"/>
    </sheetView>
  </sheetViews>
  <sheetFormatPr baseColWidth="10" defaultRowHeight="15" x14ac:dyDescent="0.25"/>
  <cols>
    <col min="1" max="1" width="5.28515625" style="1" customWidth="1"/>
    <col min="2" max="2" width="15" style="1" customWidth="1"/>
    <col min="3" max="3" width="59.7109375" style="1" customWidth="1"/>
    <col min="4" max="4" width="13.28515625" style="1" customWidth="1"/>
    <col min="5" max="5" width="10.140625" style="1" customWidth="1"/>
    <col min="6" max="6" width="11.85546875" style="1" customWidth="1"/>
    <col min="7" max="7" width="46.140625" style="1" customWidth="1"/>
    <col min="8" max="8" width="6.7109375" style="1" bestFit="1" customWidth="1"/>
    <col min="9" max="16384" width="11.42578125" style="1"/>
  </cols>
  <sheetData>
    <row r="2" spans="2:11" ht="18.75" x14ac:dyDescent="0.3">
      <c r="B2" s="60" t="s">
        <v>79</v>
      </c>
    </row>
    <row r="3" spans="2:11" ht="33" customHeight="1" x14ac:dyDescent="0.25">
      <c r="B3" s="216" t="s">
        <v>137</v>
      </c>
      <c r="C3" s="216"/>
      <c r="D3" s="216"/>
      <c r="E3" s="216"/>
      <c r="F3" s="216"/>
      <c r="G3" s="216"/>
      <c r="H3" s="216"/>
    </row>
    <row r="4" spans="2:11" x14ac:dyDescent="0.25">
      <c r="B4" s="217" t="s">
        <v>138</v>
      </c>
      <c r="C4" s="217"/>
      <c r="D4" s="217"/>
      <c r="E4" s="217"/>
      <c r="F4" s="217"/>
      <c r="G4" s="217"/>
      <c r="H4" s="217"/>
    </row>
    <row r="5" spans="2:11" x14ac:dyDescent="0.25">
      <c r="B5" s="94"/>
    </row>
    <row r="8" spans="2:11" ht="23.25" x14ac:dyDescent="0.35">
      <c r="B8" s="220" t="s">
        <v>76</v>
      </c>
      <c r="C8" s="221"/>
      <c r="D8" s="221"/>
      <c r="E8" s="221"/>
      <c r="F8" s="221"/>
      <c r="G8" s="221"/>
      <c r="H8" s="222"/>
    </row>
    <row r="9" spans="2:11" ht="18.75" x14ac:dyDescent="0.3">
      <c r="B9" s="173"/>
      <c r="C9" s="174"/>
      <c r="D9" s="174"/>
      <c r="E9" s="174"/>
      <c r="F9" s="174"/>
      <c r="G9" s="174" t="s">
        <v>38</v>
      </c>
      <c r="H9" s="175">
        <f>0.6+(0.01*SUM(F11:F23))</f>
        <v>0.80999999999999994</v>
      </c>
    </row>
    <row r="10" spans="2:11" ht="30" x14ac:dyDescent="0.25">
      <c r="B10" s="176" t="s">
        <v>61</v>
      </c>
      <c r="C10" s="177" t="s">
        <v>4</v>
      </c>
      <c r="D10" s="178" t="s">
        <v>78</v>
      </c>
      <c r="E10" s="178" t="s">
        <v>3</v>
      </c>
      <c r="F10" s="176" t="s">
        <v>36</v>
      </c>
      <c r="G10" s="223" t="s">
        <v>37</v>
      </c>
      <c r="H10" s="224"/>
    </row>
    <row r="11" spans="2:11" x14ac:dyDescent="0.25">
      <c r="B11" s="7" t="s">
        <v>23</v>
      </c>
      <c r="C11" s="8" t="s">
        <v>11</v>
      </c>
      <c r="D11" s="185">
        <v>2</v>
      </c>
      <c r="E11" s="9">
        <v>0</v>
      </c>
      <c r="F11" s="185">
        <f t="shared" ref="F11:F23" si="0">E11*D11</f>
        <v>0</v>
      </c>
      <c r="G11" s="225"/>
      <c r="H11" s="226"/>
      <c r="K11" s="6"/>
    </row>
    <row r="12" spans="2:11" x14ac:dyDescent="0.25">
      <c r="B12" s="10" t="s">
        <v>24</v>
      </c>
      <c r="C12" s="6" t="s">
        <v>17</v>
      </c>
      <c r="D12" s="186">
        <v>2</v>
      </c>
      <c r="E12" s="11">
        <v>2</v>
      </c>
      <c r="F12" s="186">
        <f t="shared" si="0"/>
        <v>4</v>
      </c>
      <c r="G12" s="218"/>
      <c r="H12" s="219"/>
    </row>
    <row r="13" spans="2:11" x14ac:dyDescent="0.25">
      <c r="B13" s="10" t="s">
        <v>25</v>
      </c>
      <c r="C13" s="6" t="s">
        <v>18</v>
      </c>
      <c r="D13" s="186">
        <v>1</v>
      </c>
      <c r="E13" s="11">
        <v>1</v>
      </c>
      <c r="F13" s="186">
        <f t="shared" si="0"/>
        <v>1</v>
      </c>
      <c r="G13" s="218"/>
      <c r="H13" s="219"/>
    </row>
    <row r="14" spans="2:11" x14ac:dyDescent="0.25">
      <c r="B14" s="10" t="s">
        <v>26</v>
      </c>
      <c r="C14" s="6" t="s">
        <v>19</v>
      </c>
      <c r="D14" s="186">
        <v>1</v>
      </c>
      <c r="E14" s="11">
        <v>2</v>
      </c>
      <c r="F14" s="186">
        <f t="shared" si="0"/>
        <v>2</v>
      </c>
      <c r="G14" s="218"/>
      <c r="H14" s="219"/>
    </row>
    <row r="15" spans="2:11" x14ac:dyDescent="0.25">
      <c r="B15" s="10" t="s">
        <v>27</v>
      </c>
      <c r="C15" s="6" t="s">
        <v>20</v>
      </c>
      <c r="D15" s="186">
        <v>1</v>
      </c>
      <c r="E15" s="11">
        <v>2</v>
      </c>
      <c r="F15" s="186">
        <f t="shared" si="0"/>
        <v>2</v>
      </c>
      <c r="G15" s="218"/>
      <c r="H15" s="219"/>
    </row>
    <row r="16" spans="2:11" x14ac:dyDescent="0.25">
      <c r="B16" s="10" t="s">
        <v>28</v>
      </c>
      <c r="C16" s="6" t="s">
        <v>12</v>
      </c>
      <c r="D16" s="186">
        <v>0.5</v>
      </c>
      <c r="E16" s="11">
        <v>2</v>
      </c>
      <c r="F16" s="186">
        <f t="shared" si="0"/>
        <v>1</v>
      </c>
      <c r="G16" s="6"/>
      <c r="H16" s="15"/>
    </row>
    <row r="17" spans="2:8" x14ac:dyDescent="0.25">
      <c r="B17" s="10" t="s">
        <v>29</v>
      </c>
      <c r="C17" s="6" t="s">
        <v>13</v>
      </c>
      <c r="D17" s="186">
        <v>0.5</v>
      </c>
      <c r="E17" s="11">
        <v>2</v>
      </c>
      <c r="F17" s="186">
        <f t="shared" si="0"/>
        <v>1</v>
      </c>
      <c r="G17" s="218"/>
      <c r="H17" s="219"/>
    </row>
    <row r="18" spans="2:8" x14ac:dyDescent="0.25">
      <c r="B18" s="10" t="s">
        <v>30</v>
      </c>
      <c r="C18" s="6" t="s">
        <v>14</v>
      </c>
      <c r="D18" s="186">
        <v>2</v>
      </c>
      <c r="E18" s="11">
        <v>1</v>
      </c>
      <c r="F18" s="186">
        <f t="shared" si="0"/>
        <v>2</v>
      </c>
      <c r="G18" s="6"/>
      <c r="H18" s="15"/>
    </row>
    <row r="19" spans="2:8" x14ac:dyDescent="0.25">
      <c r="B19" s="10" t="s">
        <v>31</v>
      </c>
      <c r="C19" s="6" t="s">
        <v>71</v>
      </c>
      <c r="D19" s="186">
        <v>1</v>
      </c>
      <c r="E19" s="11">
        <v>3</v>
      </c>
      <c r="F19" s="186">
        <f t="shared" si="0"/>
        <v>3</v>
      </c>
      <c r="G19" s="218"/>
      <c r="H19" s="219"/>
    </row>
    <row r="20" spans="2:8" x14ac:dyDescent="0.25">
      <c r="B20" s="10" t="s">
        <v>32</v>
      </c>
      <c r="C20" s="6" t="s">
        <v>15</v>
      </c>
      <c r="D20" s="186">
        <v>1</v>
      </c>
      <c r="E20" s="11">
        <v>1</v>
      </c>
      <c r="F20" s="186">
        <f t="shared" si="0"/>
        <v>1</v>
      </c>
      <c r="G20" s="218"/>
      <c r="H20" s="219"/>
    </row>
    <row r="21" spans="2:8" x14ac:dyDescent="0.25">
      <c r="B21" s="10" t="s">
        <v>33</v>
      </c>
      <c r="C21" s="6" t="s">
        <v>21</v>
      </c>
      <c r="D21" s="186">
        <v>1</v>
      </c>
      <c r="E21" s="11">
        <v>3</v>
      </c>
      <c r="F21" s="186">
        <f t="shared" si="0"/>
        <v>3</v>
      </c>
      <c r="G21" s="218"/>
      <c r="H21" s="219"/>
    </row>
    <row r="22" spans="2:8" x14ac:dyDescent="0.25">
      <c r="B22" s="10" t="s">
        <v>34</v>
      </c>
      <c r="C22" s="6" t="s">
        <v>75</v>
      </c>
      <c r="D22" s="186">
        <v>1</v>
      </c>
      <c r="E22" s="11">
        <v>0</v>
      </c>
      <c r="F22" s="186">
        <f t="shared" si="0"/>
        <v>0</v>
      </c>
      <c r="G22" s="218"/>
      <c r="H22" s="219"/>
    </row>
    <row r="23" spans="2:8" x14ac:dyDescent="0.25">
      <c r="B23" s="12" t="s">
        <v>35</v>
      </c>
      <c r="C23" s="13" t="s">
        <v>22</v>
      </c>
      <c r="D23" s="187">
        <v>1</v>
      </c>
      <c r="E23" s="14">
        <v>1</v>
      </c>
      <c r="F23" s="187">
        <f t="shared" si="0"/>
        <v>1</v>
      </c>
      <c r="G23" s="218"/>
      <c r="H23" s="219"/>
    </row>
    <row r="24" spans="2:8" x14ac:dyDescent="0.25">
      <c r="B24" s="179"/>
      <c r="C24" s="180"/>
      <c r="D24" s="180"/>
      <c r="E24" s="180" t="s">
        <v>62</v>
      </c>
      <c r="F24" s="181">
        <f>SUM(F11:F23)</f>
        <v>21</v>
      </c>
      <c r="G24" s="180"/>
      <c r="H24" s="182"/>
    </row>
    <row r="27" spans="2:8" ht="23.25" x14ac:dyDescent="0.35">
      <c r="B27" s="220" t="s">
        <v>39</v>
      </c>
      <c r="C27" s="221"/>
      <c r="D27" s="221"/>
      <c r="E27" s="221"/>
      <c r="F27" s="221"/>
      <c r="G27" s="221"/>
      <c r="H27" s="222"/>
    </row>
    <row r="28" spans="2:8" ht="18.75" x14ac:dyDescent="0.3">
      <c r="B28" s="174"/>
      <c r="C28" s="174"/>
      <c r="D28" s="174"/>
      <c r="E28" s="174"/>
      <c r="F28" s="174"/>
      <c r="G28" s="174" t="s">
        <v>49</v>
      </c>
      <c r="H28" s="174">
        <f>1.4+(-0.03*SUM(F30:F37))</f>
        <v>0.83</v>
      </c>
    </row>
    <row r="29" spans="2:8" ht="30" x14ac:dyDescent="0.25">
      <c r="B29" s="176" t="s">
        <v>60</v>
      </c>
      <c r="C29" s="177" t="s">
        <v>4</v>
      </c>
      <c r="D29" s="178" t="s">
        <v>78</v>
      </c>
      <c r="E29" s="178" t="s">
        <v>3</v>
      </c>
      <c r="F29" s="176" t="s">
        <v>36</v>
      </c>
      <c r="G29" s="223" t="s">
        <v>37</v>
      </c>
      <c r="H29" s="224"/>
    </row>
    <row r="30" spans="2:8" x14ac:dyDescent="0.25">
      <c r="B30" s="7" t="s">
        <v>40</v>
      </c>
      <c r="C30" s="95" t="s">
        <v>48</v>
      </c>
      <c r="D30" s="183">
        <v>1.5</v>
      </c>
      <c r="E30" s="9">
        <v>3</v>
      </c>
      <c r="F30" s="183">
        <f t="shared" ref="F30:F37" si="1">E30*D30</f>
        <v>4.5</v>
      </c>
      <c r="G30" s="225"/>
      <c r="H30" s="226"/>
    </row>
    <row r="31" spans="2:8" x14ac:dyDescent="0.25">
      <c r="B31" s="10" t="s">
        <v>41</v>
      </c>
      <c r="C31" s="6" t="s">
        <v>50</v>
      </c>
      <c r="D31" s="184">
        <v>0.5</v>
      </c>
      <c r="E31" s="11">
        <v>1</v>
      </c>
      <c r="F31" s="184">
        <f t="shared" si="1"/>
        <v>0.5</v>
      </c>
      <c r="G31" s="218"/>
      <c r="H31" s="219"/>
    </row>
    <row r="32" spans="2:8" x14ac:dyDescent="0.25">
      <c r="B32" s="10" t="s">
        <v>42</v>
      </c>
      <c r="C32" s="6" t="s">
        <v>51</v>
      </c>
      <c r="D32" s="184">
        <v>1</v>
      </c>
      <c r="E32" s="11">
        <v>2</v>
      </c>
      <c r="F32" s="184">
        <f t="shared" si="1"/>
        <v>2</v>
      </c>
      <c r="G32" s="218"/>
      <c r="H32" s="219"/>
    </row>
    <row r="33" spans="2:8" x14ac:dyDescent="0.25">
      <c r="B33" s="10" t="s">
        <v>43</v>
      </c>
      <c r="C33" s="6" t="s">
        <v>72</v>
      </c>
      <c r="D33" s="184">
        <v>0.5</v>
      </c>
      <c r="E33" s="11">
        <v>2</v>
      </c>
      <c r="F33" s="184">
        <f t="shared" si="1"/>
        <v>1</v>
      </c>
      <c r="G33" s="218"/>
      <c r="H33" s="219"/>
    </row>
    <row r="34" spans="2:8" x14ac:dyDescent="0.25">
      <c r="B34" s="10" t="s">
        <v>44</v>
      </c>
      <c r="C34" s="6" t="s">
        <v>52</v>
      </c>
      <c r="D34" s="184">
        <v>1</v>
      </c>
      <c r="E34" s="11">
        <v>1</v>
      </c>
      <c r="F34" s="184">
        <f t="shared" si="1"/>
        <v>1</v>
      </c>
      <c r="G34" s="218"/>
      <c r="H34" s="219"/>
    </row>
    <row r="35" spans="2:8" x14ac:dyDescent="0.25">
      <c r="B35" s="10" t="s">
        <v>45</v>
      </c>
      <c r="C35" s="6" t="s">
        <v>53</v>
      </c>
      <c r="D35" s="184">
        <v>2</v>
      </c>
      <c r="E35" s="11">
        <v>3</v>
      </c>
      <c r="F35" s="184">
        <f t="shared" si="1"/>
        <v>6</v>
      </c>
      <c r="G35" s="6"/>
      <c r="H35" s="15"/>
    </row>
    <row r="36" spans="2:8" x14ac:dyDescent="0.25">
      <c r="B36" s="10" t="s">
        <v>46</v>
      </c>
      <c r="C36" s="6" t="s">
        <v>54</v>
      </c>
      <c r="D36" s="184">
        <v>-1</v>
      </c>
      <c r="E36" s="11">
        <v>0</v>
      </c>
      <c r="F36" s="184">
        <f t="shared" si="1"/>
        <v>0</v>
      </c>
      <c r="G36" s="218"/>
      <c r="H36" s="219"/>
    </row>
    <row r="37" spans="2:8" x14ac:dyDescent="0.25">
      <c r="B37" s="10" t="s">
        <v>47</v>
      </c>
      <c r="C37" s="6" t="s">
        <v>55</v>
      </c>
      <c r="D37" s="184">
        <v>2</v>
      </c>
      <c r="E37" s="11">
        <v>2</v>
      </c>
      <c r="F37" s="184">
        <f t="shared" si="1"/>
        <v>4</v>
      </c>
      <c r="G37" s="6"/>
      <c r="H37" s="15"/>
    </row>
    <row r="38" spans="2:8" x14ac:dyDescent="0.25">
      <c r="B38" s="179"/>
      <c r="C38" s="188"/>
      <c r="D38" s="180"/>
      <c r="E38" s="188" t="s">
        <v>63</v>
      </c>
      <c r="F38" s="181">
        <f>SUM(F30:F37)</f>
        <v>19</v>
      </c>
      <c r="G38" s="180"/>
      <c r="H38" s="182"/>
    </row>
    <row r="40" spans="2:8" x14ac:dyDescent="0.25">
      <c r="B40" s="229" t="s">
        <v>65</v>
      </c>
      <c r="C40" s="230"/>
      <c r="F40" s="233" t="s">
        <v>66</v>
      </c>
      <c r="G40" s="234"/>
      <c r="H40" s="234"/>
    </row>
    <row r="41" spans="2:8" ht="60" customHeight="1" x14ac:dyDescent="0.25">
      <c r="B41" s="231" t="s">
        <v>135</v>
      </c>
      <c r="C41" s="232"/>
      <c r="F41" s="231" t="s">
        <v>136</v>
      </c>
      <c r="G41" s="235"/>
      <c r="H41" s="235"/>
    </row>
    <row r="42" spans="2:8" ht="45" x14ac:dyDescent="0.25">
      <c r="B42" s="190" t="s">
        <v>130</v>
      </c>
      <c r="C42" s="213">
        <v>15</v>
      </c>
      <c r="F42" s="189" t="s">
        <v>67</v>
      </c>
      <c r="G42" s="227">
        <v>0</v>
      </c>
      <c r="H42" s="228"/>
    </row>
  </sheetData>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B4:H4"/>
    <mergeCell ref="G14:H14"/>
    <mergeCell ref="B27:H27"/>
    <mergeCell ref="G29:H29"/>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I22" sqref="I22"/>
    </sheetView>
  </sheetViews>
  <sheetFormatPr baseColWidth="10" defaultRowHeight="15" x14ac:dyDescent="0.25"/>
  <cols>
    <col min="1" max="1" width="2.42578125" style="1" customWidth="1"/>
    <col min="2" max="2" width="4.7109375" style="16" customWidth="1"/>
    <col min="3" max="3" width="76.42578125" style="1" customWidth="1"/>
    <col min="4" max="4" width="11" style="1" customWidth="1"/>
    <col min="5" max="5" width="11.140625" style="16" customWidth="1"/>
    <col min="6" max="6" width="10.7109375" style="16" customWidth="1"/>
    <col min="7" max="7" width="15.7109375" style="16" bestFit="1" customWidth="1"/>
    <col min="8" max="8" width="11.42578125" style="1"/>
    <col min="9" max="9" width="12.140625" style="1" bestFit="1" customWidth="1"/>
    <col min="10" max="16384" width="11.42578125" style="1"/>
  </cols>
  <sheetData>
    <row r="2" spans="2:7" ht="26.25" x14ac:dyDescent="0.4">
      <c r="B2" s="236" t="s">
        <v>5</v>
      </c>
      <c r="C2" s="236"/>
      <c r="D2" s="236"/>
      <c r="E2" s="236"/>
      <c r="F2" s="236"/>
      <c r="G2" s="236"/>
    </row>
    <row r="3" spans="2:7" ht="18.75" x14ac:dyDescent="0.3">
      <c r="B3" s="168"/>
      <c r="C3" s="169"/>
      <c r="D3" s="170"/>
      <c r="E3" s="170"/>
      <c r="F3" s="170" t="s">
        <v>59</v>
      </c>
      <c r="G3" s="171">
        <f>SUM(G5:G29)*'Factor de complejidad Téc y Amb'!H9*'Factor de complejidad Téc y Amb'!H28</f>
        <v>26.891999999999996</v>
      </c>
    </row>
    <row r="4" spans="2:7" x14ac:dyDescent="0.25">
      <c r="B4" s="168" t="s">
        <v>0</v>
      </c>
      <c r="C4" s="172" t="s">
        <v>6</v>
      </c>
      <c r="D4" s="168" t="s">
        <v>58</v>
      </c>
      <c r="E4" s="168" t="s">
        <v>56</v>
      </c>
      <c r="F4" s="168" t="s">
        <v>16</v>
      </c>
      <c r="G4" s="168" t="s">
        <v>57</v>
      </c>
    </row>
    <row r="5" spans="2:7" x14ac:dyDescent="0.25">
      <c r="B5" s="2">
        <v>1</v>
      </c>
      <c r="C5" s="18" t="s">
        <v>190</v>
      </c>
      <c r="D5" s="19" t="s">
        <v>9</v>
      </c>
      <c r="E5" s="20" t="s">
        <v>196</v>
      </c>
      <c r="F5" s="50">
        <f>IF(D5="Simple",5,IF(D5="Promedio",10,IF(D5="Complejo",15,0)))</f>
        <v>5</v>
      </c>
      <c r="G5" s="50">
        <f t="shared" ref="G5:G29" si="0">IF(E5="Si",IF(D5="Simple",5,IF(D5="Promedio",5,IF(D5="Complejo",10,5))),F5)</f>
        <v>5</v>
      </c>
    </row>
    <row r="6" spans="2:7" x14ac:dyDescent="0.25">
      <c r="B6" s="2">
        <v>2</v>
      </c>
      <c r="C6" s="18" t="s">
        <v>191</v>
      </c>
      <c r="D6" s="19" t="s">
        <v>69</v>
      </c>
      <c r="E6" s="20" t="s">
        <v>196</v>
      </c>
      <c r="F6" s="50">
        <f t="shared" ref="F6:F29" si="1">IF(D6="Simple",5,IF(D6="Promedio",10,IF(D6="Complejo",15,0)))</f>
        <v>15</v>
      </c>
      <c r="G6" s="50">
        <f t="shared" si="0"/>
        <v>15</v>
      </c>
    </row>
    <row r="7" spans="2:7" x14ac:dyDescent="0.25">
      <c r="B7" s="2">
        <v>3</v>
      </c>
      <c r="C7" s="18" t="s">
        <v>192</v>
      </c>
      <c r="D7" s="19" t="s">
        <v>9</v>
      </c>
      <c r="E7" s="20" t="s">
        <v>196</v>
      </c>
      <c r="F7" s="50">
        <f t="shared" si="1"/>
        <v>5</v>
      </c>
      <c r="G7" s="50">
        <f t="shared" si="0"/>
        <v>5</v>
      </c>
    </row>
    <row r="8" spans="2:7" x14ac:dyDescent="0.25">
      <c r="B8" s="2">
        <v>4</v>
      </c>
      <c r="C8" s="18" t="s">
        <v>193</v>
      </c>
      <c r="D8" s="19" t="s">
        <v>9</v>
      </c>
      <c r="E8" s="20" t="s">
        <v>196</v>
      </c>
      <c r="F8" s="50">
        <f>IF(D8="Simple",5,IF(D8="Intermedio",10,IF(D8="Complejo",15,0)))</f>
        <v>5</v>
      </c>
      <c r="G8" s="50">
        <f t="shared" si="0"/>
        <v>5</v>
      </c>
    </row>
    <row r="9" spans="2:7" x14ac:dyDescent="0.25">
      <c r="B9" s="2">
        <v>5</v>
      </c>
      <c r="C9" s="18" t="s">
        <v>194</v>
      </c>
      <c r="D9" s="19" t="s">
        <v>195</v>
      </c>
      <c r="E9" s="20" t="s">
        <v>196</v>
      </c>
      <c r="F9" s="50">
        <f t="shared" ref="F9:F16" si="2">IF(D9="Simple",5,IF(D9="Intermedio",10,IF(D9="Complejo",15,0)))</f>
        <v>10</v>
      </c>
      <c r="G9" s="50">
        <f t="shared" si="0"/>
        <v>10</v>
      </c>
    </row>
    <row r="10" spans="2:7" x14ac:dyDescent="0.25">
      <c r="B10" s="2">
        <v>6</v>
      </c>
      <c r="C10" s="18" t="s">
        <v>79</v>
      </c>
      <c r="D10" s="19"/>
      <c r="E10" s="20"/>
      <c r="F10" s="50">
        <f t="shared" si="2"/>
        <v>0</v>
      </c>
      <c r="G10" s="50">
        <f t="shared" si="0"/>
        <v>0</v>
      </c>
    </row>
    <row r="11" spans="2:7" x14ac:dyDescent="0.25">
      <c r="B11" s="2">
        <v>7</v>
      </c>
      <c r="C11" s="18" t="s">
        <v>79</v>
      </c>
      <c r="D11" s="19"/>
      <c r="E11" s="20"/>
      <c r="F11" s="50">
        <f t="shared" si="2"/>
        <v>0</v>
      </c>
      <c r="G11" s="50">
        <f t="shared" si="0"/>
        <v>0</v>
      </c>
    </row>
    <row r="12" spans="2:7" x14ac:dyDescent="0.25">
      <c r="B12" s="2">
        <v>8</v>
      </c>
      <c r="C12" s="18" t="s">
        <v>79</v>
      </c>
      <c r="D12" s="19"/>
      <c r="E12" s="20"/>
      <c r="F12" s="50">
        <f t="shared" si="2"/>
        <v>0</v>
      </c>
      <c r="G12" s="50">
        <f t="shared" si="0"/>
        <v>0</v>
      </c>
    </row>
    <row r="13" spans="2:7" x14ac:dyDescent="0.25">
      <c r="B13" s="2">
        <v>9</v>
      </c>
      <c r="C13" s="18" t="s">
        <v>79</v>
      </c>
      <c r="D13" s="19"/>
      <c r="E13" s="20"/>
      <c r="F13" s="50">
        <f t="shared" si="2"/>
        <v>0</v>
      </c>
      <c r="G13" s="50">
        <f t="shared" si="0"/>
        <v>0</v>
      </c>
    </row>
    <row r="14" spans="2:7" x14ac:dyDescent="0.25">
      <c r="B14" s="2">
        <v>10</v>
      </c>
      <c r="C14" s="18" t="s">
        <v>79</v>
      </c>
      <c r="D14" s="19"/>
      <c r="E14" s="20"/>
      <c r="F14" s="50">
        <f t="shared" si="2"/>
        <v>0</v>
      </c>
      <c r="G14" s="50">
        <f t="shared" si="0"/>
        <v>0</v>
      </c>
    </row>
    <row r="15" spans="2:7" x14ac:dyDescent="0.25">
      <c r="B15" s="2">
        <v>11</v>
      </c>
      <c r="C15" s="18" t="s">
        <v>79</v>
      </c>
      <c r="D15" s="19"/>
      <c r="E15" s="20"/>
      <c r="F15" s="50">
        <f t="shared" si="2"/>
        <v>0</v>
      </c>
      <c r="G15" s="50">
        <f t="shared" si="0"/>
        <v>0</v>
      </c>
    </row>
    <row r="16" spans="2:7" x14ac:dyDescent="0.25">
      <c r="B16" s="2">
        <v>12</v>
      </c>
      <c r="C16" s="18" t="s">
        <v>79</v>
      </c>
      <c r="D16" s="19"/>
      <c r="E16" s="20"/>
      <c r="F16" s="50">
        <f t="shared" si="2"/>
        <v>0</v>
      </c>
      <c r="G16" s="50">
        <f t="shared" si="0"/>
        <v>0</v>
      </c>
    </row>
    <row r="17" spans="2:7" x14ac:dyDescent="0.25">
      <c r="B17" s="2">
        <v>13</v>
      </c>
      <c r="C17" s="18" t="s">
        <v>79</v>
      </c>
      <c r="D17" s="19"/>
      <c r="E17" s="20"/>
      <c r="F17" s="50">
        <f t="shared" si="1"/>
        <v>0</v>
      </c>
      <c r="G17" s="50">
        <f t="shared" si="0"/>
        <v>0</v>
      </c>
    </row>
    <row r="18" spans="2:7" x14ac:dyDescent="0.25">
      <c r="B18" s="2">
        <v>14</v>
      </c>
      <c r="C18" s="130" t="s">
        <v>79</v>
      </c>
      <c r="D18" s="19"/>
      <c r="E18" s="20"/>
      <c r="F18" s="50">
        <f t="shared" si="1"/>
        <v>0</v>
      </c>
      <c r="G18" s="50">
        <f t="shared" si="0"/>
        <v>0</v>
      </c>
    </row>
    <row r="19" spans="2:7" x14ac:dyDescent="0.25">
      <c r="B19" s="2">
        <v>15</v>
      </c>
      <c r="C19" s="130" t="s">
        <v>79</v>
      </c>
      <c r="D19" s="19"/>
      <c r="E19" s="20"/>
      <c r="F19" s="50">
        <f t="shared" si="1"/>
        <v>0</v>
      </c>
      <c r="G19" s="50">
        <f t="shared" si="0"/>
        <v>0</v>
      </c>
    </row>
    <row r="20" spans="2:7" x14ac:dyDescent="0.25">
      <c r="B20" s="2">
        <v>16</v>
      </c>
      <c r="C20" s="130" t="s">
        <v>79</v>
      </c>
      <c r="D20" s="19"/>
      <c r="E20" s="20"/>
      <c r="F20" s="50">
        <f t="shared" si="1"/>
        <v>0</v>
      </c>
      <c r="G20" s="50">
        <f t="shared" si="0"/>
        <v>0</v>
      </c>
    </row>
    <row r="21" spans="2:7" x14ac:dyDescent="0.25">
      <c r="B21" s="2">
        <v>17</v>
      </c>
      <c r="C21" s="18" t="s">
        <v>79</v>
      </c>
      <c r="D21" s="19"/>
      <c r="E21" s="20"/>
      <c r="F21" s="50">
        <f t="shared" si="1"/>
        <v>0</v>
      </c>
      <c r="G21" s="50">
        <f t="shared" si="0"/>
        <v>0</v>
      </c>
    </row>
    <row r="22" spans="2:7" x14ac:dyDescent="0.25">
      <c r="B22" s="2">
        <v>18</v>
      </c>
      <c r="C22" s="18" t="s">
        <v>79</v>
      </c>
      <c r="D22" s="19"/>
      <c r="E22" s="20"/>
      <c r="F22" s="50">
        <f t="shared" si="1"/>
        <v>0</v>
      </c>
      <c r="G22" s="50">
        <f t="shared" si="0"/>
        <v>0</v>
      </c>
    </row>
    <row r="23" spans="2:7" x14ac:dyDescent="0.25">
      <c r="B23" s="2">
        <v>19</v>
      </c>
      <c r="C23" s="21" t="s">
        <v>79</v>
      </c>
      <c r="D23" s="19"/>
      <c r="E23" s="20"/>
      <c r="F23" s="50">
        <f t="shared" si="1"/>
        <v>0</v>
      </c>
      <c r="G23" s="50">
        <f t="shared" si="0"/>
        <v>0</v>
      </c>
    </row>
    <row r="24" spans="2:7" x14ac:dyDescent="0.25">
      <c r="B24" s="2">
        <v>20</v>
      </c>
      <c r="C24" s="18" t="s">
        <v>79</v>
      </c>
      <c r="D24" s="19"/>
      <c r="E24" s="20"/>
      <c r="F24" s="50">
        <f t="shared" si="1"/>
        <v>0</v>
      </c>
      <c r="G24" s="50">
        <f t="shared" si="0"/>
        <v>0</v>
      </c>
    </row>
    <row r="25" spans="2:7" x14ac:dyDescent="0.25">
      <c r="B25" s="2">
        <v>21</v>
      </c>
      <c r="C25" s="18" t="s">
        <v>79</v>
      </c>
      <c r="D25" s="19"/>
      <c r="E25" s="20"/>
      <c r="F25" s="50">
        <f t="shared" si="1"/>
        <v>0</v>
      </c>
      <c r="G25" s="50">
        <f t="shared" si="0"/>
        <v>0</v>
      </c>
    </row>
    <row r="26" spans="2:7" x14ac:dyDescent="0.25">
      <c r="B26" s="2">
        <v>22</v>
      </c>
      <c r="C26" s="4"/>
      <c r="D26" s="19"/>
      <c r="E26" s="20"/>
      <c r="F26" s="50">
        <f t="shared" si="1"/>
        <v>0</v>
      </c>
      <c r="G26" s="50">
        <f t="shared" si="0"/>
        <v>0</v>
      </c>
    </row>
    <row r="27" spans="2:7" x14ac:dyDescent="0.25">
      <c r="B27" s="2">
        <v>23</v>
      </c>
      <c r="C27" s="4"/>
      <c r="D27" s="19"/>
      <c r="E27" s="20"/>
      <c r="F27" s="50">
        <f t="shared" si="1"/>
        <v>0</v>
      </c>
      <c r="G27" s="50">
        <f t="shared" si="0"/>
        <v>0</v>
      </c>
    </row>
    <row r="28" spans="2:7" x14ac:dyDescent="0.25">
      <c r="B28" s="2">
        <v>24</v>
      </c>
      <c r="C28" s="4"/>
      <c r="D28" s="19"/>
      <c r="E28" s="20"/>
      <c r="F28" s="50">
        <f t="shared" si="1"/>
        <v>0</v>
      </c>
      <c r="G28" s="50">
        <f t="shared" si="0"/>
        <v>0</v>
      </c>
    </row>
    <row r="29" spans="2:7" x14ac:dyDescent="0.25">
      <c r="B29" s="2">
        <v>25</v>
      </c>
      <c r="C29" s="4"/>
      <c r="D29" s="19"/>
      <c r="E29" s="20"/>
      <c r="F29" s="50">
        <f t="shared" si="1"/>
        <v>0</v>
      </c>
      <c r="G29" s="50">
        <f t="shared" si="0"/>
        <v>0</v>
      </c>
    </row>
    <row r="30" spans="2:7" x14ac:dyDescent="0.25">
      <c r="B30" s="5"/>
      <c r="C30" s="6"/>
      <c r="D30" s="6"/>
      <c r="E30" s="5"/>
      <c r="F30" s="5"/>
      <c r="G30" s="5"/>
    </row>
    <row r="32" spans="2:7" x14ac:dyDescent="0.25">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showGridLines="0" tabSelected="1" zoomScale="70" zoomScaleNormal="70" workbookViewId="0">
      <selection activeCell="F25" sqref="F25"/>
    </sheetView>
  </sheetViews>
  <sheetFormatPr baseColWidth="10" defaultRowHeight="15" x14ac:dyDescent="0.25"/>
  <cols>
    <col min="1" max="1" width="3.140625" style="1" customWidth="1"/>
    <col min="2" max="2" width="7" style="16" bestFit="1" customWidth="1"/>
    <col min="3" max="3" width="73.140625" style="1" customWidth="1"/>
    <col min="4" max="4" width="11.7109375" style="1" customWidth="1"/>
    <col min="5" max="5" width="12.5703125" style="16" bestFit="1" customWidth="1"/>
    <col min="6" max="6" width="26.28515625" style="16" bestFit="1" customWidth="1"/>
    <col min="7" max="7" width="20.85546875" style="16" bestFit="1" customWidth="1"/>
    <col min="8" max="8" width="9.28515625" style="16" bestFit="1" customWidth="1"/>
    <col min="9" max="9" width="22.7109375" style="1" customWidth="1"/>
    <col min="10" max="10" width="19" style="1" customWidth="1"/>
    <col min="11" max="11" width="17.42578125" style="1" customWidth="1"/>
    <col min="12" max="16384" width="11.42578125" style="1"/>
  </cols>
  <sheetData>
    <row r="1" spans="2:16" s="22" customFormat="1" x14ac:dyDescent="0.25">
      <c r="B1" s="23"/>
      <c r="C1" s="23"/>
      <c r="D1" s="23"/>
      <c r="E1" s="23"/>
      <c r="F1" s="23"/>
      <c r="G1" s="23"/>
      <c r="H1" s="23"/>
      <c r="I1" s="23"/>
      <c r="J1" s="23"/>
      <c r="K1" s="23"/>
      <c r="L1" s="23"/>
      <c r="M1" s="23"/>
      <c r="N1" s="23"/>
      <c r="O1" s="23"/>
      <c r="P1" s="24"/>
    </row>
    <row r="2" spans="2:16" s="22" customFormat="1" x14ac:dyDescent="0.25">
      <c r="B2" s="23"/>
      <c r="C2" s="104" t="s">
        <v>148</v>
      </c>
      <c r="D2" s="110">
        <f>'Estimación de Tamaño UCP'!G3</f>
        <v>26.891999999999996</v>
      </c>
      <c r="E2" s="105" t="s">
        <v>151</v>
      </c>
      <c r="F2" s="23"/>
      <c r="G2" s="23"/>
      <c r="H2" s="23"/>
      <c r="I2" s="23"/>
      <c r="J2" s="23"/>
      <c r="K2" s="23"/>
      <c r="L2" s="23"/>
      <c r="M2" s="23"/>
      <c r="N2" s="23"/>
      <c r="O2" s="23"/>
      <c r="P2" s="24"/>
    </row>
    <row r="3" spans="2:16" s="22" customFormat="1" x14ac:dyDescent="0.25">
      <c r="B3" s="23"/>
      <c r="C3" s="106" t="s">
        <v>149</v>
      </c>
      <c r="D3" s="103" t="s">
        <v>189</v>
      </c>
      <c r="E3" s="107" t="s">
        <v>152</v>
      </c>
      <c r="F3" s="23">
        <f>'Factor de complejidad Téc y Amb'!C42</f>
        <v>15</v>
      </c>
      <c r="G3" s="23"/>
      <c r="H3" s="23"/>
      <c r="I3" s="23"/>
      <c r="J3" s="23"/>
      <c r="K3" s="23"/>
      <c r="L3" s="23"/>
      <c r="M3" s="23"/>
      <c r="N3" s="23"/>
      <c r="O3" s="23"/>
      <c r="P3" s="24"/>
    </row>
    <row r="4" spans="2:16" s="22" customFormat="1" x14ac:dyDescent="0.25">
      <c r="B4" s="23"/>
      <c r="C4" s="108" t="s">
        <v>150</v>
      </c>
      <c r="D4" s="111">
        <f>D3*D2</f>
        <v>403.37999999999994</v>
      </c>
      <c r="E4" s="109" t="s">
        <v>152</v>
      </c>
      <c r="F4" s="23"/>
      <c r="G4" s="23"/>
      <c r="H4" s="23"/>
      <c r="I4" s="23"/>
      <c r="J4" s="23"/>
      <c r="K4" s="23"/>
      <c r="L4" s="23"/>
      <c r="M4" s="23"/>
      <c r="N4" s="23"/>
      <c r="O4" s="23"/>
      <c r="P4" s="24"/>
    </row>
    <row r="5" spans="2:16" s="22" customFormat="1" x14ac:dyDescent="0.25">
      <c r="B5" s="23"/>
      <c r="C5" s="23"/>
      <c r="D5" s="23"/>
      <c r="E5" s="23"/>
      <c r="F5" s="23"/>
      <c r="G5" s="23"/>
      <c r="H5" s="23"/>
      <c r="I5" s="23"/>
      <c r="J5" s="23"/>
      <c r="K5" s="23"/>
      <c r="L5" s="23"/>
      <c r="M5" s="23"/>
      <c r="N5" s="23"/>
      <c r="O5" s="23"/>
      <c r="P5" s="24"/>
    </row>
    <row r="6" spans="2:16" ht="26.25" x14ac:dyDescent="0.4">
      <c r="B6" s="241" t="s">
        <v>70</v>
      </c>
      <c r="C6" s="242"/>
      <c r="D6" s="242"/>
      <c r="E6" s="242"/>
      <c r="F6" s="242"/>
      <c r="G6" s="242"/>
      <c r="H6" s="242"/>
      <c r="I6" s="242"/>
      <c r="J6" s="242"/>
      <c r="K6" s="243"/>
    </row>
    <row r="7" spans="2:16" ht="21" x14ac:dyDescent="0.35">
      <c r="B7" s="51"/>
      <c r="C7" s="52"/>
      <c r="D7" s="52"/>
      <c r="E7" s="52"/>
      <c r="F7" s="131">
        <f>SUM(F9+F16+F30+F47+F50)</f>
        <v>226</v>
      </c>
      <c r="G7" s="52"/>
      <c r="H7" s="52"/>
      <c r="I7" s="51"/>
      <c r="J7" s="51"/>
      <c r="K7" s="115"/>
    </row>
    <row r="8" spans="2:16" ht="15.75" x14ac:dyDescent="0.25">
      <c r="B8" s="53" t="s">
        <v>0</v>
      </c>
      <c r="C8" s="54" t="s">
        <v>142</v>
      </c>
      <c r="D8" s="53" t="s">
        <v>64</v>
      </c>
      <c r="E8" s="53" t="s">
        <v>2</v>
      </c>
      <c r="F8" s="53" t="s">
        <v>131</v>
      </c>
      <c r="G8" s="53" t="s">
        <v>104</v>
      </c>
      <c r="H8" s="53" t="s">
        <v>2</v>
      </c>
      <c r="I8" s="88" t="s">
        <v>105</v>
      </c>
      <c r="J8" s="89" t="s">
        <v>103</v>
      </c>
      <c r="K8" s="116" t="s">
        <v>85</v>
      </c>
    </row>
    <row r="9" spans="2:16" ht="15.75" x14ac:dyDescent="0.25">
      <c r="B9" s="145">
        <v>1</v>
      </c>
      <c r="C9" s="146" t="s">
        <v>1</v>
      </c>
      <c r="D9" s="147"/>
      <c r="E9" s="152">
        <f>(F9/F7)</f>
        <v>0.12831858407079647</v>
      </c>
      <c r="F9" s="155">
        <f>SUM(F10:F15)</f>
        <v>29</v>
      </c>
      <c r="G9" s="150"/>
      <c r="H9" s="157"/>
      <c r="I9" s="237" t="s">
        <v>118</v>
      </c>
      <c r="J9" s="238"/>
      <c r="K9" s="203">
        <f>SUM(K10:K15)</f>
        <v>1496.8980400219298</v>
      </c>
    </row>
    <row r="10" spans="2:16" ht="15.75" x14ac:dyDescent="0.25">
      <c r="B10" s="55"/>
      <c r="C10" s="196" t="s">
        <v>109</v>
      </c>
      <c r="D10" s="55"/>
      <c r="E10" s="77"/>
      <c r="F10" s="59">
        <v>7</v>
      </c>
      <c r="G10" s="61">
        <v>1</v>
      </c>
      <c r="H10" s="99">
        <f>(F10/F9)</f>
        <v>0.2413793103448276</v>
      </c>
      <c r="I10" s="90" t="s">
        <v>88</v>
      </c>
      <c r="J10" s="91">
        <f>IF(I10="Líder de proyecto",[5]Recursos!E$5,(IF(I10="Analista",[5]Recursos!E$6,(IF(I10="Diseñador",[5]Recursos!#REF!,(IF(I10="Tester",[5]Recursos!E$7,(IF(I10="Desarrollador",[5]Recursos!E$8,(IF(I10="Arquitecto",[5]Recursos!E$12,(IF(I10="Aseguramiento de la calidad",[5]Recursos!E$9,0)))))))))))))</f>
        <v>51.617173793859649</v>
      </c>
      <c r="K10" s="117">
        <f t="shared" ref="K10:K15" si="0">F10*J10*G10</f>
        <v>361.32021655701755</v>
      </c>
    </row>
    <row r="11" spans="2:16" ht="15.75" x14ac:dyDescent="0.25">
      <c r="B11" s="55"/>
      <c r="C11" s="196" t="s">
        <v>110</v>
      </c>
      <c r="D11" s="55"/>
      <c r="E11" s="77"/>
      <c r="F11" s="59">
        <v>3</v>
      </c>
      <c r="G11" s="61">
        <v>1</v>
      </c>
      <c r="H11" s="99">
        <f>(F11/F9)</f>
        <v>0.10344827586206896</v>
      </c>
      <c r="I11" s="90" t="s">
        <v>88</v>
      </c>
      <c r="J11" s="91">
        <f>IF(I11="Líder de proyecto",[5]Recursos!E$5,(IF(I11="Analista",[5]Recursos!E$6,(IF(I11="Diseñador",[5]Recursos!#REF!,(IF(I11="Tester",[5]Recursos!E$7,(IF(I11="Desarrollador",[5]Recursos!E$8,(IF(I11="Arquitecto",[5]Recursos!E$12,(IF(I11="Aseguramiento de la calidad",[5]Recursos!E$9,0)))))))))))))</f>
        <v>51.617173793859649</v>
      </c>
      <c r="K11" s="117">
        <f t="shared" si="0"/>
        <v>154.85152138157895</v>
      </c>
    </row>
    <row r="12" spans="2:16" ht="15.75" x14ac:dyDescent="0.25">
      <c r="B12" s="55"/>
      <c r="C12" s="196" t="s">
        <v>172</v>
      </c>
      <c r="D12" s="55"/>
      <c r="E12" s="77"/>
      <c r="F12" s="59">
        <v>2</v>
      </c>
      <c r="G12" s="61">
        <v>1</v>
      </c>
      <c r="H12" s="99">
        <f>(F12/F9)</f>
        <v>6.8965517241379309E-2</v>
      </c>
      <c r="I12" s="90" t="s">
        <v>88</v>
      </c>
      <c r="J12" s="91">
        <f>IF(I12="Líder de proyecto",[5]Recursos!E$5,(IF(I12="Analista",[5]Recursos!E$6,(IF(I12="Diseñador",[5]Recursos!#REF!,(IF(I12="Tester",[5]Recursos!E$7,(IF(I12="Desarrollador",[5]Recursos!E$8,(IF(I12="Arquitecto",[5]Recursos!E$12,(IF(I12="Aseguramiento de la calidad",[5]Recursos!E$9,0)))))))))))))</f>
        <v>51.617173793859649</v>
      </c>
      <c r="K12" s="117">
        <f t="shared" si="0"/>
        <v>103.2343475877193</v>
      </c>
    </row>
    <row r="13" spans="2:16" ht="15.75" x14ac:dyDescent="0.25">
      <c r="B13" s="55"/>
      <c r="C13" s="196" t="s">
        <v>113</v>
      </c>
      <c r="D13" s="55"/>
      <c r="E13" s="77"/>
      <c r="F13" s="59">
        <v>12</v>
      </c>
      <c r="G13" s="61">
        <v>1</v>
      </c>
      <c r="H13" s="99">
        <f>(F13/F9)</f>
        <v>0.41379310344827586</v>
      </c>
      <c r="I13" s="90" t="s">
        <v>88</v>
      </c>
      <c r="J13" s="91">
        <f>IF(I13="Líder de proyecto",[5]Recursos!E$5,(IF(I13="Analista",[5]Recursos!E$6,(IF(I13="Diseñador",[5]Recursos!#REF!,(IF(I13="Tester",[5]Recursos!E$7,(IF(I13="Desarrollador",[5]Recursos!E$8,(IF(I13="Arquitecto",[5]Recursos!E$12,(IF(I13="Aseguramiento de la calidad",[5]Recursos!E$9,0)))))))))))))</f>
        <v>51.617173793859649</v>
      </c>
      <c r="K13" s="117">
        <f t="shared" si="0"/>
        <v>619.40608552631579</v>
      </c>
    </row>
    <row r="14" spans="2:16" ht="15.75" x14ac:dyDescent="0.25">
      <c r="B14" s="55"/>
      <c r="C14" s="196" t="s">
        <v>176</v>
      </c>
      <c r="D14" s="55"/>
      <c r="E14" s="77"/>
      <c r="F14" s="59">
        <v>1</v>
      </c>
      <c r="G14" s="61">
        <v>1</v>
      </c>
      <c r="H14" s="99">
        <f>(F14/F9)</f>
        <v>3.4482758620689655E-2</v>
      </c>
      <c r="I14" s="90" t="s">
        <v>88</v>
      </c>
      <c r="J14" s="91">
        <f>IF(I14="Líder de proyecto",[5]Recursos!E$5,(IF(I14="Analista",[5]Recursos!E$6,(IF(I14="Diseñador",[5]Recursos!#REF!,(IF(I14="Tester",[5]Recursos!E$7,(IF(I14="Desarrollador",[5]Recursos!E$8,(IF(I14="Arquitecto",[5]Recursos!E$12,(IF(I14="Aseguramiento de la calidad",[5]Recursos!E$9,0)))))))))))))</f>
        <v>51.617173793859649</v>
      </c>
      <c r="K14" s="117">
        <f t="shared" si="0"/>
        <v>51.617173793859649</v>
      </c>
    </row>
    <row r="15" spans="2:16" ht="15.75" x14ac:dyDescent="0.25">
      <c r="B15" s="55"/>
      <c r="C15" s="196" t="s">
        <v>111</v>
      </c>
      <c r="D15" s="55"/>
      <c r="E15" s="197"/>
      <c r="F15" s="59">
        <v>4</v>
      </c>
      <c r="G15" s="61">
        <v>1</v>
      </c>
      <c r="H15" s="99">
        <f>F15/F9</f>
        <v>0.13793103448275862</v>
      </c>
      <c r="I15" s="90" t="s">
        <v>88</v>
      </c>
      <c r="J15" s="91">
        <f>IF(I15="Líder de proyecto",[5]Recursos!E$5,(IF(I15="Analista",[5]Recursos!E$6,(IF(I15="Diseñador",[5]Recursos!#REF!,(IF(I15="Tester",[5]Recursos!E$7,(IF(I15="Desarrollador",[5]Recursos!E$8,(IF(I15="Arquitecto",[5]Recursos!E$12,(IF(I15="Aseguramiento de la calidad",[5]Recursos!E$9,0)))))))))))))</f>
        <v>51.617173793859649</v>
      </c>
      <c r="K15" s="117">
        <f t="shared" si="0"/>
        <v>206.4686951754386</v>
      </c>
    </row>
    <row r="16" spans="2:16" ht="36" customHeight="1" x14ac:dyDescent="0.25">
      <c r="B16" s="145">
        <v>2</v>
      </c>
      <c r="C16" s="146" t="s">
        <v>106</v>
      </c>
      <c r="D16" s="147"/>
      <c r="E16" s="152">
        <f>(F16/F7)</f>
        <v>0.20353982300884957</v>
      </c>
      <c r="F16" s="155">
        <f>F17+F25</f>
        <v>46</v>
      </c>
      <c r="G16" s="150"/>
      <c r="H16" s="157"/>
      <c r="I16" s="244" t="s">
        <v>119</v>
      </c>
      <c r="J16" s="245" t="s">
        <v>79</v>
      </c>
      <c r="K16" s="203">
        <f>SUM(K17+K25)</f>
        <v>2745.0145833333336</v>
      </c>
    </row>
    <row r="17" spans="2:14" ht="15.75" x14ac:dyDescent="0.25">
      <c r="B17" s="55"/>
      <c r="C17" s="66" t="s">
        <v>114</v>
      </c>
      <c r="D17" s="79"/>
      <c r="E17" s="77"/>
      <c r="F17" s="202">
        <f>SUM(F18:F24)</f>
        <v>19</v>
      </c>
      <c r="G17" s="80"/>
      <c r="H17" s="81"/>
      <c r="I17" s="246" t="s">
        <v>120</v>
      </c>
      <c r="J17" s="247" t="s">
        <v>79</v>
      </c>
      <c r="K17" s="204">
        <f>SUM(K18:K24)</f>
        <v>1128.9761376096494</v>
      </c>
    </row>
    <row r="18" spans="2:14" ht="15.75" x14ac:dyDescent="0.25">
      <c r="B18" s="55"/>
      <c r="C18" s="196" t="s">
        <v>177</v>
      </c>
      <c r="D18" s="55"/>
      <c r="E18" s="77"/>
      <c r="F18" s="59">
        <v>2</v>
      </c>
      <c r="G18" s="59">
        <v>1</v>
      </c>
      <c r="H18" s="99">
        <f>(F18/F16)</f>
        <v>4.3478260869565216E-2</v>
      </c>
      <c r="I18" s="90" t="s">
        <v>87</v>
      </c>
      <c r="J18" s="91">
        <f>IF(I18="Líder de proyecto",[5]Recursos!E$5,(IF(I18="Analista",[5]Recursos!E$6,(IF(I18="Diseñador",[5]Recursos!#REF!,(IF(I18="Tester",[5]Recursos!E$7,(IF(I18="Desarrollador",[5]Recursos!E$8,(IF(I18="Arquitecto",[5]Recursos!E$12,(IF(I18="Aseguramiento de la calidad",[5]Recursos!E$9,0)))))))))))))</f>
        <v>59.853275767543863</v>
      </c>
      <c r="K18" s="117">
        <f>F18*J18*G18</f>
        <v>119.70655153508773</v>
      </c>
    </row>
    <row r="19" spans="2:14" ht="15.75" x14ac:dyDescent="0.25">
      <c r="B19" s="55"/>
      <c r="C19" s="196" t="s">
        <v>161</v>
      </c>
      <c r="D19" s="55"/>
      <c r="E19" s="77"/>
      <c r="F19" s="59">
        <v>4</v>
      </c>
      <c r="G19" s="61">
        <v>1</v>
      </c>
      <c r="H19" s="99">
        <f>(F19/F16)</f>
        <v>8.6956521739130432E-2</v>
      </c>
      <c r="I19" s="90" t="s">
        <v>87</v>
      </c>
      <c r="J19" s="91">
        <f>IF(I19="Líder de proyecto",[5]Recursos!E$5,(IF(I19="Analista",[5]Recursos!E$6,(IF(I19="Diseñador",[5]Recursos!#REF!,(IF(I19="Tester",[5]Recursos!E$7,(IF(I19="Desarrollador",[5]Recursos!E$8,(IF(I19="Arquitecto",[5]Recursos!E$12,(IF(I19="Aseguramiento de la calidad",[5]Recursos!E$9,0)))))))))))))</f>
        <v>59.853275767543863</v>
      </c>
      <c r="K19" s="117">
        <f>F19*J19*G19</f>
        <v>239.41310307017545</v>
      </c>
    </row>
    <row r="20" spans="2:14" ht="15.75" x14ac:dyDescent="0.25">
      <c r="B20" s="55"/>
      <c r="C20" s="196" t="s">
        <v>112</v>
      </c>
      <c r="D20" s="55"/>
      <c r="E20" s="77"/>
      <c r="F20" s="59">
        <v>6</v>
      </c>
      <c r="G20" s="61">
        <v>1</v>
      </c>
      <c r="H20" s="99">
        <f>(F20/F16)</f>
        <v>0.13043478260869565</v>
      </c>
      <c r="I20" s="90" t="s">
        <v>87</v>
      </c>
      <c r="J20" s="91">
        <f>IF(I20="Líder de proyecto",[5]Recursos!E$5,(IF(I20="Analista",[5]Recursos!E$6,(IF(I20="Diseñador",[5]Recursos!#REF!,(IF(I20="Tester",[5]Recursos!E$7,(IF(I20="Desarrollador",[5]Recursos!E$8,(IF(I20="Arquitecto",[5]Recursos!E$12,(IF(I20="Aseguramiento de la calidad",[5]Recursos!E$9,0)))))))))))))</f>
        <v>59.853275767543863</v>
      </c>
      <c r="K20" s="117">
        <f t="shared" ref="K20:K22" si="1">F20*J20*G20</f>
        <v>359.11965460526318</v>
      </c>
    </row>
    <row r="21" spans="2:14" ht="15.75" x14ac:dyDescent="0.25">
      <c r="B21" s="55"/>
      <c r="C21" s="196" t="s">
        <v>178</v>
      </c>
      <c r="D21" s="55"/>
      <c r="E21" s="77"/>
      <c r="F21" s="59">
        <v>1</v>
      </c>
      <c r="G21" s="61">
        <v>1</v>
      </c>
      <c r="H21" s="99">
        <f>(F21/F16)</f>
        <v>2.1739130434782608E-2</v>
      </c>
      <c r="I21" s="90" t="s">
        <v>88</v>
      </c>
      <c r="J21" s="91">
        <f>IF(I21="Líder de proyecto",[5]Recursos!E$5,(IF(I21="Analista",[5]Recursos!E$6,(IF(I21="Diseñador",[5]Recursos!#REF!,(IF(I21="Tester",[5]Recursos!E$7,(IF(I21="Desarrollador",[5]Recursos!E$8,(IF(I21="Arquitecto",[5]Recursos!E$12,(IF(I21="Aseguramiento de la calidad",[5]Recursos!E$9,0)))))))))))))</f>
        <v>51.617173793859649</v>
      </c>
      <c r="K21" s="117">
        <f t="shared" si="1"/>
        <v>51.617173793859649</v>
      </c>
      <c r="N21" s="135"/>
    </row>
    <row r="22" spans="2:14" ht="15.75" x14ac:dyDescent="0.25">
      <c r="B22" s="55"/>
      <c r="C22" s="196" t="s">
        <v>165</v>
      </c>
      <c r="D22" s="55"/>
      <c r="E22" s="77"/>
      <c r="F22" s="59">
        <v>1</v>
      </c>
      <c r="G22" s="61">
        <v>1</v>
      </c>
      <c r="H22" s="99">
        <f>(F22/F16)</f>
        <v>2.1739130434782608E-2</v>
      </c>
      <c r="I22" s="90" t="s">
        <v>87</v>
      </c>
      <c r="J22" s="91">
        <f>IF(I22="Líder de proyecto",[5]Recursos!E$5,(IF(I22="Analista",[5]Recursos!E$6,(IF(I22="Diseñador",[5]Recursos!#REF!,(IF(I22="Tester",[5]Recursos!E$7,(IF(I22="Desarrollador",[5]Recursos!E$8,(IF(I22="Arquitecto",[5]Recursos!E$12,(IF(I22="Aseguramiento de la calidad",[5]Recursos!E$9,0)))))))))))))</f>
        <v>59.853275767543863</v>
      </c>
      <c r="K22" s="117">
        <f t="shared" si="1"/>
        <v>59.853275767543863</v>
      </c>
      <c r="N22" s="135"/>
    </row>
    <row r="23" spans="2:14" ht="15.75" x14ac:dyDescent="0.25">
      <c r="B23" s="55"/>
      <c r="C23" s="196" t="s">
        <v>179</v>
      </c>
      <c r="D23" s="55"/>
      <c r="E23" s="77"/>
      <c r="F23" s="59">
        <v>1</v>
      </c>
      <c r="G23" s="61">
        <v>1</v>
      </c>
      <c r="H23" s="99">
        <f>(F23/F16)</f>
        <v>2.1739130434782608E-2</v>
      </c>
      <c r="I23" s="90" t="s">
        <v>87</v>
      </c>
      <c r="J23" s="91">
        <f>IF(I23="Líder de proyecto",[5]Recursos!E$5,(IF(I23="Analista",[5]Recursos!E$6,(IF(I23="Diseñador",[5]Recursos!#REF!,(IF(I23="Tester",[5]Recursos!E$7,(IF(I23="Desarrollador",[5]Recursos!E$8,(IF(I23="Arquitecto",[5]Recursos!E$12,(IF(I23="Aseguramiento de la calidad",[5]Recursos!E$9,0)))))))))))))</f>
        <v>59.853275767543863</v>
      </c>
      <c r="K23" s="118">
        <f>F23*J23*G23</f>
        <v>59.853275767543863</v>
      </c>
    </row>
    <row r="24" spans="2:14" ht="15.75" x14ac:dyDescent="0.25">
      <c r="B24" s="55"/>
      <c r="C24" s="198" t="s">
        <v>180</v>
      </c>
      <c r="D24" s="55"/>
      <c r="E24" s="77"/>
      <c r="F24" s="59">
        <v>4</v>
      </c>
      <c r="G24" s="61">
        <v>1</v>
      </c>
      <c r="H24" s="99">
        <f>(F24/F16)</f>
        <v>8.6956521739130432E-2</v>
      </c>
      <c r="I24" s="90" t="s">
        <v>87</v>
      </c>
      <c r="J24" s="91">
        <f>IF(I24="Líder de proyecto",[5]Recursos!E$5,(IF(I24="Analista",[5]Recursos!E$6,(IF(I24="Diseñador",[5]Recursos!#REF!,(IF(I24="Tester",[5]Recursos!E$7,(IF(I24="Desarrollador",[5]Recursos!E$8,(IF(I24="Arquitecto",[5]Recursos!E$12,(IF(I24="Aseguramiento de la calidad",[5]Recursos!E$9,0)))))))))))))</f>
        <v>59.853275767543863</v>
      </c>
      <c r="K24" s="118">
        <f>F24*J24*G24</f>
        <v>239.41310307017545</v>
      </c>
    </row>
    <row r="25" spans="2:14" ht="15.75" x14ac:dyDescent="0.25">
      <c r="B25" s="55"/>
      <c r="C25" s="66" t="s">
        <v>115</v>
      </c>
      <c r="D25" s="79"/>
      <c r="E25" s="77"/>
      <c r="F25" s="201">
        <f>SUM(F26:F29)</f>
        <v>27</v>
      </c>
      <c r="G25" s="80"/>
      <c r="H25" s="81"/>
      <c r="I25" s="246" t="s">
        <v>121</v>
      </c>
      <c r="J25" s="247" t="s">
        <v>79</v>
      </c>
      <c r="K25" s="204">
        <f>SUM(K26:K29)</f>
        <v>1616.0384457236844</v>
      </c>
    </row>
    <row r="26" spans="2:14" ht="15.75" x14ac:dyDescent="0.25">
      <c r="B26" s="199"/>
      <c r="C26" s="196" t="s">
        <v>181</v>
      </c>
      <c r="E26" s="77"/>
      <c r="F26" s="59">
        <v>11</v>
      </c>
      <c r="G26" s="61">
        <v>1</v>
      </c>
      <c r="H26" s="99">
        <f>(F26/F16)</f>
        <v>0.2391304347826087</v>
      </c>
      <c r="I26" s="90" t="s">
        <v>87</v>
      </c>
      <c r="J26" s="91">
        <f>IF(I26="Líder de proyecto",[5]Recursos!E$5,(IF(I26="Analista",[5]Recursos!E$6,(IF(I26="Diseñador",[5]Recursos!#REF!,(IF(I26="Tester",[5]Recursos!E$7,(IF(I26="Desarrollador",[5]Recursos!E$8,(IF(I26="Arquitecto",[5]Recursos!E$12,(IF(I26="Aseguramiento de la calidad",[5]Recursos!E$9,0)))))))))))))</f>
        <v>59.853275767543863</v>
      </c>
      <c r="K26" s="117">
        <f t="shared" ref="K26:K29" si="2">F26*J26*G26</f>
        <v>658.38603344298247</v>
      </c>
    </row>
    <row r="27" spans="2:14" ht="15.75" x14ac:dyDescent="0.25">
      <c r="B27" s="55"/>
      <c r="C27" s="196" t="s">
        <v>155</v>
      </c>
      <c r="D27" s="55"/>
      <c r="E27" s="77"/>
      <c r="F27" s="59">
        <v>13</v>
      </c>
      <c r="G27" s="61">
        <v>1</v>
      </c>
      <c r="H27" s="99">
        <f>(F27/F16)</f>
        <v>0.28260869565217389</v>
      </c>
      <c r="I27" s="90" t="s">
        <v>87</v>
      </c>
      <c r="J27" s="91">
        <f>IF(I27="Líder de proyecto",[5]Recursos!E$5,(IF(I27="Analista",[5]Recursos!E$6,(IF(I27="Diseñador",[5]Recursos!#REF!,(IF(I27="Tester",[5]Recursos!E$7,(IF(I27="Desarrollador",[5]Recursos!E$8,(IF(I27="Arquitecto",[5]Recursos!E$12,(IF(I27="Aseguramiento de la calidad",[5]Recursos!E$9,0)))))))))))))</f>
        <v>59.853275767543863</v>
      </c>
      <c r="K27" s="117">
        <f t="shared" si="2"/>
        <v>778.09258497807025</v>
      </c>
    </row>
    <row r="28" spans="2:14" ht="15.75" x14ac:dyDescent="0.25">
      <c r="B28" s="55"/>
      <c r="C28" s="196" t="s">
        <v>197</v>
      </c>
      <c r="D28" s="55"/>
      <c r="E28" s="77"/>
      <c r="F28" s="59">
        <v>1</v>
      </c>
      <c r="G28" s="61">
        <v>1</v>
      </c>
      <c r="H28" s="99">
        <f>(F28/F16)</f>
        <v>2.1739130434782608E-2</v>
      </c>
      <c r="I28" s="90" t="s">
        <v>87</v>
      </c>
      <c r="J28" s="91">
        <f>IF(I28="Líder de proyecto",[5]Recursos!E$5,(IF(I28="Analista",[5]Recursos!E$6,(IF(I28="Diseñador",[5]Recursos!#REF!,(IF(I28="Tester",[5]Recursos!E$7,(IF(I28="Desarrollador",[5]Recursos!E$8,(IF(I28="Arquitecto",[5]Recursos!E$12,(IF(I28="Aseguramiento de la calidad",[5]Recursos!E$9,0)))))))))))))</f>
        <v>59.853275767543863</v>
      </c>
      <c r="K28" s="117">
        <f t="shared" si="2"/>
        <v>59.853275767543863</v>
      </c>
    </row>
    <row r="29" spans="2:14" ht="15.75" x14ac:dyDescent="0.25">
      <c r="B29" s="55"/>
      <c r="C29" s="196" t="s">
        <v>156</v>
      </c>
      <c r="D29" s="55"/>
      <c r="E29" s="197"/>
      <c r="F29" s="59">
        <v>2</v>
      </c>
      <c r="G29" s="61">
        <v>1</v>
      </c>
      <c r="H29" s="99">
        <f>(F29/F16)</f>
        <v>4.3478260869565216E-2</v>
      </c>
      <c r="I29" s="90" t="s">
        <v>87</v>
      </c>
      <c r="J29" s="91">
        <f>IF(I29="Líder de proyecto",[5]Recursos!E$5,(IF(I29="Analista",[5]Recursos!E$6,(IF(I29="Diseñador",[5]Recursos!#REF!,(IF(I29="Tester",[5]Recursos!E$7,(IF(I29="Desarrollador",[5]Recursos!E$8,(IF(I29="Arquitecto",[5]Recursos!E$12,(IF(I29="Aseguramiento de la calidad",[5]Recursos!E$9,0)))))))))))))</f>
        <v>59.853275767543863</v>
      </c>
      <c r="K29" s="117">
        <f t="shared" si="2"/>
        <v>119.70655153508773</v>
      </c>
    </row>
    <row r="30" spans="2:14" ht="15.75" x14ac:dyDescent="0.25">
      <c r="B30" s="145">
        <v>3</v>
      </c>
      <c r="C30" s="146" t="s">
        <v>157</v>
      </c>
      <c r="D30" s="153"/>
      <c r="E30" s="154">
        <f>SUM(E31+E36+E38+E45)</f>
        <v>0.40707964601769908</v>
      </c>
      <c r="F30" s="155">
        <f>F31+F36+F38+F45</f>
        <v>100</v>
      </c>
      <c r="G30" s="150"/>
      <c r="H30" s="156"/>
      <c r="I30" s="237" t="s">
        <v>159</v>
      </c>
      <c r="J30" s="238" t="s">
        <v>79</v>
      </c>
      <c r="K30" s="203">
        <f>SUM(K38+K36+K44+K31)</f>
        <v>6307.667845394737</v>
      </c>
    </row>
    <row r="31" spans="2:14" ht="15.75" x14ac:dyDescent="0.25">
      <c r="B31" s="63">
        <v>3.1</v>
      </c>
      <c r="C31" s="67" t="s">
        <v>166</v>
      </c>
      <c r="D31" s="68"/>
      <c r="E31" s="114">
        <f>(F31/F7)</f>
        <v>5.7522123893805309E-2</v>
      </c>
      <c r="F31" s="82">
        <f>SUM(F32:F35)</f>
        <v>13</v>
      </c>
      <c r="G31" s="78"/>
      <c r="H31" s="92"/>
      <c r="I31" s="248" t="s">
        <v>170</v>
      </c>
      <c r="J31" s="249" t="s">
        <v>79</v>
      </c>
      <c r="K31" s="205">
        <f>SUM(K32:K35)</f>
        <v>778.09258497807014</v>
      </c>
    </row>
    <row r="32" spans="2:14" ht="15.75" x14ac:dyDescent="0.25">
      <c r="B32" s="63"/>
      <c r="C32" s="196" t="s">
        <v>182</v>
      </c>
      <c r="D32" s="57"/>
      <c r="E32" s="77"/>
      <c r="F32" s="59">
        <v>4</v>
      </c>
      <c r="G32" s="65">
        <v>1</v>
      </c>
      <c r="H32" s="99">
        <f>F32/F30</f>
        <v>0.04</v>
      </c>
      <c r="I32" s="90" t="s">
        <v>158</v>
      </c>
      <c r="J32" s="91">
        <f>IF(I32="Líder de proyecto",[5]Recursos!E$5,(IF(I32="Analista",[5]Recursos!E$6,(IF(I32="Diseñador",[5]Recursos!#REF!,(IF(I32="Tester",[5]Recursos!E$7,(IF(I32="Desarrollador",[5]Recursos!E$8,(IF(I32="Arquitecto",[5]Recursos!E$12,(IF(I32="Aseguramiento de la calidad",[5]Recursos!E$9,0)))))))))))))</f>
        <v>59.853275767543863</v>
      </c>
      <c r="K32" s="117">
        <f>F32*J32*G32</f>
        <v>239.41310307017545</v>
      </c>
    </row>
    <row r="33" spans="1:11" ht="15.75" x14ac:dyDescent="0.25">
      <c r="B33" s="63"/>
      <c r="C33" s="196" t="s">
        <v>183</v>
      </c>
      <c r="D33" s="57"/>
      <c r="E33" s="77"/>
      <c r="F33" s="59">
        <v>3</v>
      </c>
      <c r="G33" s="65">
        <v>1</v>
      </c>
      <c r="H33" s="99">
        <f>F33/F30</f>
        <v>0.03</v>
      </c>
      <c r="I33" s="90" t="s">
        <v>158</v>
      </c>
      <c r="J33" s="91">
        <f>IF(I33="Líder de proyecto",[5]Recursos!E$5,(IF(I33="Analista",[5]Recursos!E$6,(IF(I33="Diseñador",[5]Recursos!#REF!,(IF(I33="Tester",[5]Recursos!E$7,(IF(I33="Desarrollador",[5]Recursos!E$8,(IF(I33="Arquitecto",[5]Recursos!E$12,(IF(I33="Aseguramiento de la calidad",[5]Recursos!E$9,0)))))))))))))</f>
        <v>59.853275767543863</v>
      </c>
      <c r="K33" s="117">
        <f t="shared" ref="K33:K35" si="3">F33*J33*G33</f>
        <v>179.55982730263159</v>
      </c>
    </row>
    <row r="34" spans="1:11" ht="15.75" x14ac:dyDescent="0.25">
      <c r="B34" s="63"/>
      <c r="C34" s="196" t="s">
        <v>184</v>
      </c>
      <c r="D34" s="57"/>
      <c r="E34" s="77"/>
      <c r="F34" s="59">
        <v>4</v>
      </c>
      <c r="G34" s="65">
        <v>1</v>
      </c>
      <c r="H34" s="99">
        <f>F34/F30</f>
        <v>0.04</v>
      </c>
      <c r="I34" s="90" t="s">
        <v>158</v>
      </c>
      <c r="J34" s="91">
        <f>IF(I34="Líder de proyecto",[5]Recursos!E$5,(IF(I34="Analista",[5]Recursos!E$6,(IF(I34="Diseñador",[5]Recursos!#REF!,(IF(I34="Tester",[5]Recursos!E$7,(IF(I34="Desarrollador",[5]Recursos!E$8,(IF(I34="Arquitecto",[5]Recursos!E$12,(IF(I34="Aseguramiento de la calidad",[5]Recursos!E$9,0)))))))))))))</f>
        <v>59.853275767543863</v>
      </c>
      <c r="K34" s="117">
        <f t="shared" si="3"/>
        <v>239.41310307017545</v>
      </c>
    </row>
    <row r="35" spans="1:11" ht="15.75" x14ac:dyDescent="0.25">
      <c r="B35" s="63"/>
      <c r="C35" s="196" t="s">
        <v>185</v>
      </c>
      <c r="D35" s="57"/>
      <c r="E35" s="77"/>
      <c r="F35" s="59">
        <v>2</v>
      </c>
      <c r="G35" s="65">
        <v>1</v>
      </c>
      <c r="H35" s="99">
        <f>F35/F30</f>
        <v>0.02</v>
      </c>
      <c r="I35" s="90" t="s">
        <v>158</v>
      </c>
      <c r="J35" s="91">
        <f>IF(I35="Líder de proyecto",[5]Recursos!E$5,(IF(I35="Analista",[5]Recursos!E$6,(IF(I35="Diseñador",[5]Recursos!#REF!,(IF(I35="Tester",[5]Recursos!E$7,(IF(I35="Desarrollador",[5]Recursos!E$8,(IF(I35="Arquitecto",[5]Recursos!E$12,(IF(I35="Aseguramiento de la calidad",[5]Recursos!E$9,0)))))))))))))</f>
        <v>59.853275767543863</v>
      </c>
      <c r="K35" s="117">
        <f t="shared" si="3"/>
        <v>119.70655153508773</v>
      </c>
    </row>
    <row r="36" spans="1:11" ht="15.75" x14ac:dyDescent="0.25">
      <c r="B36" s="63">
        <v>3.2</v>
      </c>
      <c r="C36" s="67" t="s">
        <v>167</v>
      </c>
      <c r="D36" s="68"/>
      <c r="E36" s="114">
        <f>(F36/F7)</f>
        <v>0.28761061946902655</v>
      </c>
      <c r="F36" s="82">
        <f>F37</f>
        <v>65</v>
      </c>
      <c r="G36" s="78"/>
      <c r="H36" s="70"/>
      <c r="I36" s="248" t="s">
        <v>122</v>
      </c>
      <c r="J36" s="249" t="s">
        <v>79</v>
      </c>
      <c r="K36" s="205">
        <f>SUM(K37:K37)</f>
        <v>3890.4629248903511</v>
      </c>
    </row>
    <row r="37" spans="1:11" ht="15.75" x14ac:dyDescent="0.25">
      <c r="B37" s="63"/>
      <c r="C37" s="56" t="s">
        <v>188</v>
      </c>
      <c r="D37" s="57"/>
      <c r="E37" s="112"/>
      <c r="F37" s="59">
        <v>65</v>
      </c>
      <c r="G37" s="65">
        <v>1</v>
      </c>
      <c r="H37" s="99">
        <f>F37/F30</f>
        <v>0.65</v>
      </c>
      <c r="I37" s="90" t="s">
        <v>173</v>
      </c>
      <c r="J37" s="91">
        <f>IF(I37="Líder de proyecto",[5]Recursos!E$5,(IF(I37="Analista",[5]Recursos!E$6,(IF(I37="Diseñador",[5]Recursos!#REF!,(IF(I37="Tester",[5]Recursos!E$7,(IF(I37="Desarrollador",[5]Recursos!E$8,(IF(I37="Arquitecto",[5]Recursos!E$12,(IF(I37="Aseguramiento de la calidad",[5]Recursos!E$9,0)))))))))))))</f>
        <v>59.853275767543863</v>
      </c>
      <c r="K37" s="118">
        <f>F37*J37*G37</f>
        <v>3890.4629248903511</v>
      </c>
    </row>
    <row r="38" spans="1:11" ht="15.75" x14ac:dyDescent="0.25">
      <c r="B38" s="63">
        <v>3.3</v>
      </c>
      <c r="C38" s="67" t="s">
        <v>168</v>
      </c>
      <c r="D38" s="71"/>
      <c r="E38" s="114">
        <f>(F38/F7)</f>
        <v>6.1946902654867256E-2</v>
      </c>
      <c r="F38" s="102">
        <f>SUM(F39:F43)</f>
        <v>14</v>
      </c>
      <c r="G38" s="78"/>
      <c r="H38" s="70"/>
      <c r="I38" s="248" t="s">
        <v>123</v>
      </c>
      <c r="J38" s="249" t="s">
        <v>79</v>
      </c>
      <c r="K38" s="205">
        <f>SUM(K39:K43)</f>
        <v>747.34873903508765</v>
      </c>
    </row>
    <row r="39" spans="1:11" ht="15.75" x14ac:dyDescent="0.25">
      <c r="B39" s="63"/>
      <c r="C39" s="196" t="s">
        <v>162</v>
      </c>
      <c r="D39" s="58"/>
      <c r="E39" s="77"/>
      <c r="F39" s="59">
        <v>3</v>
      </c>
      <c r="G39" s="65">
        <v>1</v>
      </c>
      <c r="H39" s="99">
        <f>F39/F30</f>
        <v>0.03</v>
      </c>
      <c r="I39" s="90" t="s">
        <v>89</v>
      </c>
      <c r="J39" s="91">
        <f>IF(I39="Líder de proyecto",[5]Recursos!E$5,(IF(I39="Analista",[5]Recursos!E$6,(IF(I39="Diseñador",[5]Recursos!#REF!,(IF(I39="Tester",[5]Recursos!E$7,(IF(I39="Desarrollador",[5]Recursos!E$8,(IF(I39="Arquitecto",[5]Recursos!E$12,(IF(I39="Aseguramiento de la calidad",[5]Recursos!E$9,0)))))))))))))</f>
        <v>51.617173793859649</v>
      </c>
      <c r="K39" s="117">
        <f>F39*J39*G39</f>
        <v>154.85152138157895</v>
      </c>
    </row>
    <row r="40" spans="1:11" ht="15.75" x14ac:dyDescent="0.25">
      <c r="B40" s="63"/>
      <c r="C40" s="196" t="s">
        <v>116</v>
      </c>
      <c r="D40" s="58"/>
      <c r="E40" s="77"/>
      <c r="F40" s="59">
        <v>3</v>
      </c>
      <c r="G40" s="65">
        <v>1</v>
      </c>
      <c r="H40" s="99">
        <f>F40/F30</f>
        <v>0.03</v>
      </c>
      <c r="I40" s="90" t="s">
        <v>89</v>
      </c>
      <c r="J40" s="91">
        <f>IF(I40="Líder de proyecto",[5]Recursos!E$5,(IF(I40="Analista",[5]Recursos!E$6,(IF(I40="Diseñador",[5]Recursos!#REF!,(IF(I40="Tester",[5]Recursos!E$7,(IF(I40="Desarrollador",[5]Recursos!E$8,(IF(I40="Arquitecto",[5]Recursos!E$12,(IF(I40="Aseguramiento de la calidad",[5]Recursos!E$9,0)))))))))))))</f>
        <v>51.617173793859649</v>
      </c>
      <c r="K40" s="117">
        <f>F40*J40*G40</f>
        <v>154.85152138157895</v>
      </c>
    </row>
    <row r="41" spans="1:11" ht="15.75" x14ac:dyDescent="0.25">
      <c r="B41" s="63"/>
      <c r="C41" s="196" t="s">
        <v>160</v>
      </c>
      <c r="D41" s="58"/>
      <c r="E41" s="77"/>
      <c r="F41" s="59">
        <v>3</v>
      </c>
      <c r="G41" s="65">
        <v>1</v>
      </c>
      <c r="H41" s="99">
        <f>F41/F30</f>
        <v>0.03</v>
      </c>
      <c r="I41" s="90" t="s">
        <v>173</v>
      </c>
      <c r="J41" s="91">
        <f>IF(I41="Líder de proyecto",[5]Recursos!E$5,(IF(I41="Analista",[5]Recursos!E$6,(IF(I41="Diseñador",[5]Recursos!#REF!,(IF(I41="Tester",[5]Recursos!E$7,(IF(I41="Desarrollador",[5]Recursos!E$8,(IF(I41="Arquitecto",[5]Recursos!E$12,(IF(I41="Aseguramiento de la calidad",[5]Recursos!E$9,0)))))))))))))</f>
        <v>59.853275767543863</v>
      </c>
      <c r="K41" s="117">
        <f>F41*J41*G41</f>
        <v>179.55982730263159</v>
      </c>
    </row>
    <row r="42" spans="1:11" ht="15.75" x14ac:dyDescent="0.25">
      <c r="B42" s="63"/>
      <c r="C42" s="196" t="s">
        <v>198</v>
      </c>
      <c r="D42" s="58"/>
      <c r="E42" s="77"/>
      <c r="F42" s="59">
        <v>4</v>
      </c>
      <c r="G42" s="65">
        <v>1</v>
      </c>
      <c r="H42" s="99">
        <f>F42/F30</f>
        <v>0.04</v>
      </c>
      <c r="I42" s="90" t="s">
        <v>89</v>
      </c>
      <c r="J42" s="91">
        <f>IF(I42="Líder de proyecto",[5]Recursos!E$5,(IF(I42="Analista",[5]Recursos!E$6,(IF(I42="Diseñador",[5]Recursos!#REF!,(IF(I42="Tester",[5]Recursos!E$7,(IF(I42="Desarrollador",[5]Recursos!E$8,(IF(I42="Arquitecto",[5]Recursos!E$12,(IF(I42="Aseguramiento de la calidad",[5]Recursos!E$9,0)))))))))))))</f>
        <v>51.617173793859649</v>
      </c>
      <c r="K42" s="117">
        <f>F42*J42*G42</f>
        <v>206.4686951754386</v>
      </c>
    </row>
    <row r="43" spans="1:11" ht="15.75" x14ac:dyDescent="0.25">
      <c r="A43" s="206"/>
      <c r="B43" s="207"/>
      <c r="C43" s="196" t="s">
        <v>199</v>
      </c>
      <c r="D43" s="208"/>
      <c r="E43" s="77"/>
      <c r="F43" s="209">
        <v>1</v>
      </c>
      <c r="G43" s="210">
        <v>1</v>
      </c>
      <c r="H43" s="99">
        <f>F43/F30</f>
        <v>0.01</v>
      </c>
      <c r="I43" s="90" t="s">
        <v>89</v>
      </c>
      <c r="J43" s="91">
        <f>IF(I43="Líder de proyecto",[5]Recursos!E$5,(IF(I43="Analista",[5]Recursos!E$6,(IF(I43="Diseñador",[5]Recursos!#REF!,(IF(I43="Tester",[5]Recursos!E$7,(IF(I43="Desarrollador",[5]Recursos!E$8,(IF(I43="Arquitecto",[5]Recursos!E$12,(IF(I43="Aseguramiento de la calidad",[5]Recursos!E$9,0)))))))))))))</f>
        <v>51.617173793859649</v>
      </c>
      <c r="K43" s="117">
        <f>F43*J43*G43</f>
        <v>51.617173793859649</v>
      </c>
    </row>
    <row r="44" spans="1:11" ht="15.75" x14ac:dyDescent="0.25">
      <c r="B44" s="63">
        <v>3.4</v>
      </c>
      <c r="C44" s="67" t="s">
        <v>169</v>
      </c>
      <c r="D44" s="69"/>
      <c r="E44" s="211">
        <f>(F44/F7)</f>
        <v>7.0796460176991149E-2</v>
      </c>
      <c r="F44" s="82">
        <f>SUM(F45:F46)</f>
        <v>16</v>
      </c>
      <c r="G44" s="78"/>
      <c r="H44" s="100"/>
      <c r="I44" s="248" t="s">
        <v>124</v>
      </c>
      <c r="J44" s="249" t="s">
        <v>79</v>
      </c>
      <c r="K44" s="205">
        <f>SUM(K45:K46)</f>
        <v>891.7635964912281</v>
      </c>
    </row>
    <row r="45" spans="1:11" ht="15.75" x14ac:dyDescent="0.25">
      <c r="B45" s="63"/>
      <c r="C45" s="56" t="s">
        <v>163</v>
      </c>
      <c r="D45" s="55"/>
      <c r="E45" s="77"/>
      <c r="F45" s="59">
        <v>8</v>
      </c>
      <c r="G45" s="65">
        <v>1</v>
      </c>
      <c r="H45" s="99">
        <v>0.5</v>
      </c>
      <c r="I45" s="90" t="s">
        <v>158</v>
      </c>
      <c r="J45" s="91">
        <f>IF(I45="Líder de proyecto",[5]Recursos!E$5,(IF(I45="Analista",[5]Recursos!E$6,(IF(I45="Diseñador",[5]Recursos!#REF!,(IF(I45="Tester",[5]Recursos!E$7,(IF(I45="Desarrollador",[5]Recursos!E$8,(IF(I45="Arquitecto",[5]Recursos!E$12,(IF(I45="Aseguramiento de la calidad",[5]Recursos!E$9,0)))))))))))))</f>
        <v>59.853275767543863</v>
      </c>
      <c r="K45" s="117">
        <f>F45*J45*G45</f>
        <v>478.82620614035091</v>
      </c>
    </row>
    <row r="46" spans="1:11" ht="15.75" x14ac:dyDescent="0.25">
      <c r="B46" s="63"/>
      <c r="C46" s="56" t="s">
        <v>164</v>
      </c>
      <c r="D46" s="55"/>
      <c r="E46" s="77"/>
      <c r="F46" s="59">
        <v>8</v>
      </c>
      <c r="G46" s="65">
        <v>1</v>
      </c>
      <c r="H46" s="99">
        <v>0.5</v>
      </c>
      <c r="I46" s="90" t="s">
        <v>88</v>
      </c>
      <c r="J46" s="91">
        <f>IF(I46="Líder de proyecto",[5]Recursos!E$5,(IF(I46="Analista",[5]Recursos!E$6,(IF(I46="Diseñador",[5]Recursos!#REF!,(IF(I46="Tester",[5]Recursos!E$7,(IF(I46="Desarrollador",[5]Recursos!E$8,(IF(I46="Arquitecto",[5]Recursos!E$12,(IF(I46="Aseguramiento de la calidad",[5]Recursos!E$9,0)))))))))))))</f>
        <v>51.617173793859649</v>
      </c>
      <c r="K46" s="117">
        <f>F46*J46*G46</f>
        <v>412.93739035087719</v>
      </c>
    </row>
    <row r="47" spans="1:11" ht="15.75" x14ac:dyDescent="0.25">
      <c r="B47" s="145">
        <v>4</v>
      </c>
      <c r="C47" s="146" t="s">
        <v>107</v>
      </c>
      <c r="D47" s="147"/>
      <c r="E47" s="152">
        <f>(F47/F7)</f>
        <v>3.5398230088495575E-2</v>
      </c>
      <c r="F47" s="149">
        <f>F48+F49</f>
        <v>8</v>
      </c>
      <c r="G47" s="150"/>
      <c r="H47" s="151"/>
      <c r="I47" s="237" t="s">
        <v>125</v>
      </c>
      <c r="J47" s="238" t="s">
        <v>79</v>
      </c>
      <c r="K47" s="203">
        <f>SUM(K48:K49)</f>
        <v>478.82620614035091</v>
      </c>
    </row>
    <row r="48" spans="1:11" ht="15.75" x14ac:dyDescent="0.25">
      <c r="B48" s="55" t="s">
        <v>79</v>
      </c>
      <c r="C48" s="196" t="s">
        <v>186</v>
      </c>
      <c r="D48" s="55"/>
      <c r="E48" s="200"/>
      <c r="F48" s="59">
        <v>4</v>
      </c>
      <c r="G48" s="61">
        <v>1</v>
      </c>
      <c r="H48" s="101">
        <v>1</v>
      </c>
      <c r="I48" s="90" t="s">
        <v>87</v>
      </c>
      <c r="J48" s="91">
        <f>IF(I48="Líder de proyecto",[5]Recursos!E$5,(IF(I48="Analista",[5]Recursos!E$6,(IF(I48="Diseñador",[5]Recursos!#REF!,(IF(I48="Tester",[5]Recursos!E$7,(IF(I48="Desarrollador",[5]Recursos!E$8,(IF(I48="Arquitecto",[5]Recursos!E$12,(IF(I48="Aseguramiento de la calidad",[5]Recursos!E$9,0)))))))))))))</f>
        <v>59.853275767543863</v>
      </c>
      <c r="K48" s="117">
        <f>F48*J48*G48</f>
        <v>239.41310307017545</v>
      </c>
    </row>
    <row r="49" spans="1:12" ht="15.75" x14ac:dyDescent="0.25">
      <c r="B49" s="55"/>
      <c r="C49" s="196" t="s">
        <v>187</v>
      </c>
      <c r="D49" s="55"/>
      <c r="E49" s="200"/>
      <c r="F49" s="59">
        <v>4</v>
      </c>
      <c r="G49" s="61">
        <v>1</v>
      </c>
      <c r="H49" s="101">
        <v>1</v>
      </c>
      <c r="I49" s="90" t="s">
        <v>87</v>
      </c>
      <c r="J49" s="91">
        <f>IF(I49="Líder de proyecto",[5]Recursos!E$5,(IF(I49="Analista",[5]Recursos!E$6,(IF(I49="Diseñador",[5]Recursos!#REF!,(IF(I49="Tester",[5]Recursos!E$7,(IF(I49="Desarrollador",[5]Recursos!E$8,(IF(I49="Arquitecto",[5]Recursos!E$12,(IF(I49="Aseguramiento de la calidad",[5]Recursos!E$9,0)))))))))))))</f>
        <v>59.853275767543863</v>
      </c>
      <c r="K49" s="117">
        <f>F49*J49*G49</f>
        <v>239.41310307017545</v>
      </c>
    </row>
    <row r="50" spans="1:12" ht="15.75" x14ac:dyDescent="0.25">
      <c r="B50" s="145">
        <v>5</v>
      </c>
      <c r="C50" s="146" t="s">
        <v>133</v>
      </c>
      <c r="D50" s="147"/>
      <c r="E50" s="148">
        <f>(F50/F7)</f>
        <v>0.19026548672566371</v>
      </c>
      <c r="F50" s="149">
        <f>SUM(F51:F54)</f>
        <v>43</v>
      </c>
      <c r="G50" s="150"/>
      <c r="H50" s="151"/>
      <c r="I50" s="237" t="s">
        <v>134</v>
      </c>
      <c r="J50" s="238" t="s">
        <v>79</v>
      </c>
      <c r="K50" s="203">
        <f>SUM(K51:K54)</f>
        <v>1598.0413925438597</v>
      </c>
    </row>
    <row r="51" spans="1:12" ht="15.75" x14ac:dyDescent="0.25">
      <c r="B51" s="72"/>
      <c r="C51" s="123" t="s">
        <v>108</v>
      </c>
      <c r="D51" s="124"/>
      <c r="E51" s="77"/>
      <c r="F51" s="126">
        <v>13</v>
      </c>
      <c r="G51" s="127">
        <v>1</v>
      </c>
      <c r="H51" s="132">
        <f>(F51/F50)</f>
        <v>0.30232558139534882</v>
      </c>
      <c r="I51" s="90" t="s">
        <v>175</v>
      </c>
      <c r="J51" s="91">
        <f>IF(I51="Líder de proyecto",[5]Recursos!E$5,(IF(I51="Analista",[5]Recursos!E$6,(IF(I51="Administrador de la configuración",[5]Recursos!E$11,(IF(I51="Tester",[5]Recursos!E$7,(IF(I51="Desarrollador",[5]Recursos!E$8,(IF(I51="Arquitecto",[5]Recursos!E$12,(IF(I51="Aseguramiento de la calidad",[5]Recursos!E$9,0)))))))))))))</f>
        <v>31.977576754385964</v>
      </c>
      <c r="K51" s="128">
        <f>F51*J51*G51</f>
        <v>415.70849780701752</v>
      </c>
    </row>
    <row r="52" spans="1:12" ht="15.75" x14ac:dyDescent="0.25">
      <c r="B52" s="63" t="s">
        <v>79</v>
      </c>
      <c r="C52" s="123" t="s">
        <v>126</v>
      </c>
      <c r="D52" s="124"/>
      <c r="E52" s="77"/>
      <c r="F52" s="126">
        <v>22</v>
      </c>
      <c r="G52" s="127">
        <v>1</v>
      </c>
      <c r="H52" s="132">
        <f>(F52/F50)</f>
        <v>0.51162790697674421</v>
      </c>
      <c r="I52" s="90" t="s">
        <v>174</v>
      </c>
      <c r="J52" s="91">
        <f>IF(I52="Líder de proyecto",[5]Recursos!E$5,(IF(I52="Analista",[5]Recursos!E$6,(IF(I52="Diseñador",[5]Recursos!#REF!,(IF(I52="Tester",[5]Recursos!E$7,(IF(I52="Desarrollador",[5]Recursos!E$8,(IF(I52="Arquitecto",[5]Recursos!E$12,(IF(I52="Aseguramiento de la calidad",[5]Recursos!E$9,0)))))))))))))</f>
        <v>31.977576754385964</v>
      </c>
      <c r="K52" s="128">
        <f>F52*J52*G52</f>
        <v>703.50668859649124</v>
      </c>
    </row>
    <row r="53" spans="1:12" ht="15.75" x14ac:dyDescent="0.25">
      <c r="B53" s="63" t="s">
        <v>79</v>
      </c>
      <c r="C53" s="123" t="s">
        <v>129</v>
      </c>
      <c r="D53" s="124"/>
      <c r="E53" s="77"/>
      <c r="F53" s="126">
        <v>4</v>
      </c>
      <c r="G53" s="127">
        <v>1</v>
      </c>
      <c r="H53" s="132">
        <f>(F53/F50)</f>
        <v>9.3023255813953487E-2</v>
      </c>
      <c r="I53" s="90" t="s">
        <v>87</v>
      </c>
      <c r="J53" s="91">
        <f>IF(I53="Líder de proyecto",[5]Recursos!E$5,(IF(I53="Analista",[5]Recursos!E$6,(IF(I53="Diseñador",[5]Recursos!#REF!,(IF(I53="Tester",[5]Recursos!E$7,(IF(I53="Desarrollador",[5]Recursos!E$8,(IF(I53="Arquitecto",[5]Recursos!E$12,(IF(I53="Aseguramiento de la calidad",[5]Recursos!E$9,0)))))))))))))</f>
        <v>59.853275767543863</v>
      </c>
      <c r="K53" s="128">
        <f>F53*J53*G53</f>
        <v>239.41310307017545</v>
      </c>
    </row>
    <row r="54" spans="1:12" ht="15.75" x14ac:dyDescent="0.25">
      <c r="B54" s="113" t="s">
        <v>79</v>
      </c>
      <c r="C54" s="125" t="s">
        <v>8</v>
      </c>
      <c r="D54" s="124"/>
      <c r="E54" s="77"/>
      <c r="F54" s="126">
        <v>4</v>
      </c>
      <c r="G54" s="129">
        <v>1</v>
      </c>
      <c r="H54" s="132">
        <f>(F54/F50)</f>
        <v>9.3023255813953487E-2</v>
      </c>
      <c r="I54" s="90" t="s">
        <v>87</v>
      </c>
      <c r="J54" s="91">
        <f>IF(I54="Líder de proyecto",[5]Recursos!E$5,(IF(I54="Analista",[5]Recursos!E$6,(IF(I54="Diseñador",[5]Recursos!#REF!,(IF(I54="Tester",[5]Recursos!E$7,(IF(I54="Desarrollador",[5]Recursos!E$8,(IF(I54="Arquitecto",[5]Recursos!E$12,(IF(I54="Aseguramiento de la calidad",[5]Recursos!E$9,0)))))))))))))</f>
        <v>59.853275767543863</v>
      </c>
      <c r="K54" s="128">
        <f>F54*J54*G54</f>
        <v>239.41310307017545</v>
      </c>
      <c r="L54" s="90"/>
    </row>
    <row r="55" spans="1:12" ht="63" customHeight="1" x14ac:dyDescent="0.25">
      <c r="A55" s="15"/>
      <c r="B55" s="137">
        <v>6</v>
      </c>
      <c r="C55" s="138" t="s">
        <v>153</v>
      </c>
      <c r="D55" s="139"/>
      <c r="E55" s="140"/>
      <c r="F55" s="141">
        <v>6</v>
      </c>
      <c r="G55" s="142">
        <v>1</v>
      </c>
      <c r="H55" s="143" t="s">
        <v>79</v>
      </c>
      <c r="I55" s="237" t="s">
        <v>154</v>
      </c>
      <c r="J55" s="238"/>
      <c r="K55" s="144">
        <v>0</v>
      </c>
    </row>
    <row r="56" spans="1:12" ht="21" x14ac:dyDescent="0.25">
      <c r="B56" s="5"/>
      <c r="C56" s="6"/>
      <c r="D56" s="6"/>
      <c r="E56" s="98"/>
      <c r="F56" s="5" t="s">
        <v>79</v>
      </c>
      <c r="G56" s="5"/>
      <c r="H56" s="5"/>
      <c r="I56" s="239" t="s">
        <v>117</v>
      </c>
      <c r="J56" s="239"/>
      <c r="K56" s="83">
        <f>SUM(K50+K47+K30+K16+K9+K55)</f>
        <v>12626.448067434212</v>
      </c>
    </row>
    <row r="57" spans="1:12" ht="21" x14ac:dyDescent="0.35">
      <c r="B57" s="136"/>
      <c r="C57" s="64"/>
      <c r="D57" s="25"/>
      <c r="I57" s="161" t="s">
        <v>147</v>
      </c>
      <c r="J57" s="162"/>
      <c r="K57" s="163">
        <f>(200*F7)-K56</f>
        <v>32573.551932565788</v>
      </c>
    </row>
    <row r="58" spans="1:12" ht="21" x14ac:dyDescent="0.35">
      <c r="C58" s="64"/>
      <c r="D58" s="25"/>
      <c r="I58" s="158" t="s">
        <v>146</v>
      </c>
      <c r="J58" s="159"/>
      <c r="K58" s="160" t="s">
        <v>79</v>
      </c>
    </row>
    <row r="59" spans="1:12" ht="21" x14ac:dyDescent="0.35">
      <c r="C59" s="64"/>
      <c r="D59" s="25"/>
      <c r="I59" s="158"/>
      <c r="J59" s="159"/>
      <c r="K59" s="160">
        <v>0</v>
      </c>
    </row>
    <row r="60" spans="1:12" ht="21" x14ac:dyDescent="0.35">
      <c r="C60" s="64"/>
      <c r="D60" s="25"/>
      <c r="I60" s="158"/>
      <c r="J60" s="159"/>
      <c r="K60" s="160">
        <v>0</v>
      </c>
    </row>
    <row r="61" spans="1:12" ht="21" x14ac:dyDescent="0.35">
      <c r="C61" s="64"/>
      <c r="D61" s="25"/>
      <c r="I61" s="158"/>
      <c r="J61" s="159"/>
      <c r="K61" s="160">
        <v>0</v>
      </c>
    </row>
    <row r="62" spans="1:12" ht="21" x14ac:dyDescent="0.35">
      <c r="C62" s="64"/>
      <c r="D62" s="25"/>
      <c r="I62" s="158"/>
      <c r="J62" s="159"/>
      <c r="K62" s="160">
        <v>0</v>
      </c>
    </row>
    <row r="63" spans="1:12" ht="21" x14ac:dyDescent="0.35">
      <c r="C63" s="64"/>
      <c r="D63" s="25"/>
      <c r="I63" s="96" t="s">
        <v>143</v>
      </c>
      <c r="J63" s="96" t="s">
        <v>144</v>
      </c>
      <c r="K63" s="97">
        <f>SUM(K56:K62)</f>
        <v>45200</v>
      </c>
    </row>
    <row r="64" spans="1:12" ht="21" customHeight="1" x14ac:dyDescent="0.25">
      <c r="C64" s="240"/>
      <c r="D64" s="240"/>
      <c r="I64" s="212" t="s">
        <v>79</v>
      </c>
      <c r="J64" s="1" t="s">
        <v>132</v>
      </c>
      <c r="K64" s="1">
        <v>1.1599999999999999</v>
      </c>
    </row>
    <row r="65" spans="9:11" ht="21" x14ac:dyDescent="0.35">
      <c r="I65" s="96" t="s">
        <v>143</v>
      </c>
      <c r="J65" s="96" t="s">
        <v>145</v>
      </c>
      <c r="K65" s="93">
        <f>K63*K64</f>
        <v>52432</v>
      </c>
    </row>
    <row r="66" spans="9:11" x14ac:dyDescent="0.25">
      <c r="I66" s="62"/>
    </row>
    <row r="94" spans="2:2" x14ac:dyDescent="0.25">
      <c r="B94" s="133"/>
    </row>
  </sheetData>
  <mergeCells count="15">
    <mergeCell ref="I47:J47"/>
    <mergeCell ref="I50:J50"/>
    <mergeCell ref="I56:J56"/>
    <mergeCell ref="C64:D64"/>
    <mergeCell ref="B6:K6"/>
    <mergeCell ref="I55:J55"/>
    <mergeCell ref="I9:J9"/>
    <mergeCell ref="I16:J16"/>
    <mergeCell ref="I25:J25"/>
    <mergeCell ref="I30:J30"/>
    <mergeCell ref="I36:J36"/>
    <mergeCell ref="I38:J38"/>
    <mergeCell ref="I17:J17"/>
    <mergeCell ref="I31:J31"/>
    <mergeCell ref="I44:J44"/>
  </mergeCells>
  <phoneticPr fontId="0" type="noConversion"/>
  <dataValidations count="3">
    <dataValidation type="whole" allowBlank="1" showInputMessage="1" showErrorMessage="1" sqref="G51:G55 G45:G46 G37 G26:G29 G10:G15 G19:G24 G32:G35 G48:G49 G39:G43">
      <formula1>1</formula1>
      <formula2>10</formula2>
    </dataValidation>
    <dataValidation type="list" allowBlank="1" showInputMessage="1" showErrorMessage="1" sqref="I52:I54 I10:I15 I18:I24 I26:I29 I37 I45:I46 I39:I43 I32:I35 I48:I49">
      <formula1>"Líder de proyecto, Analista, Arquitecto, Tester, Desarrollador, Aseguramiento de la calidad"</formula1>
    </dataValidation>
    <dataValidation type="list" allowBlank="1" showInputMessage="1" showErrorMessage="1" sqref="I51">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B1" workbookViewId="0">
      <selection activeCell="E9" sqref="E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79</v>
      </c>
    </row>
    <row r="3" spans="2:5" ht="13.5" thickBot="1" x14ac:dyDescent="0.25"/>
    <row r="4" spans="2:5" x14ac:dyDescent="0.2">
      <c r="B4" s="164" t="s">
        <v>86</v>
      </c>
      <c r="C4" s="164" t="s">
        <v>91</v>
      </c>
      <c r="D4" s="164" t="s">
        <v>92</v>
      </c>
      <c r="E4" s="165" t="s">
        <v>93</v>
      </c>
    </row>
    <row r="5" spans="2:5" x14ac:dyDescent="0.2">
      <c r="B5" s="121" t="s">
        <v>87</v>
      </c>
      <c r="C5" s="84">
        <v>11788.65</v>
      </c>
      <c r="D5" s="84">
        <f>C5/30.4/8</f>
        <v>48.473067434210527</v>
      </c>
      <c r="E5" s="85">
        <f t="shared" ref="E5:E12" si="0">SUM(D5+E$27)</f>
        <v>59.853275767543863</v>
      </c>
    </row>
    <row r="6" spans="2:5" x14ac:dyDescent="0.2">
      <c r="B6" s="121" t="s">
        <v>88</v>
      </c>
      <c r="C6" s="84">
        <v>9785.6299999999992</v>
      </c>
      <c r="D6" s="84">
        <f t="shared" ref="D6:D12" si="1">C6/30.4/8</f>
        <v>40.236965460526314</v>
      </c>
      <c r="E6" s="85">
        <f t="shared" si="0"/>
        <v>51.617173793859649</v>
      </c>
    </row>
    <row r="7" spans="2:5" x14ac:dyDescent="0.2">
      <c r="B7" s="121" t="s">
        <v>89</v>
      </c>
      <c r="C7" s="84">
        <v>9785.6299999999992</v>
      </c>
      <c r="D7" s="84">
        <f t="shared" si="1"/>
        <v>40.236965460526314</v>
      </c>
      <c r="E7" s="85">
        <f t="shared" si="0"/>
        <v>51.617173793859649</v>
      </c>
    </row>
    <row r="8" spans="2:5" x14ac:dyDescent="0.2">
      <c r="B8" s="134" t="s">
        <v>173</v>
      </c>
      <c r="C8" s="84">
        <v>11788.65</v>
      </c>
      <c r="D8" s="84">
        <f t="shared" si="1"/>
        <v>48.473067434210527</v>
      </c>
      <c r="E8" s="85">
        <f t="shared" si="0"/>
        <v>59.853275767543863</v>
      </c>
    </row>
    <row r="9" spans="2:5" x14ac:dyDescent="0.2">
      <c r="B9" s="134" t="s">
        <v>174</v>
      </c>
      <c r="C9" s="84">
        <v>5009.28</v>
      </c>
      <c r="D9" s="84">
        <f t="shared" si="1"/>
        <v>20.597368421052632</v>
      </c>
      <c r="E9" s="85">
        <f t="shared" si="0"/>
        <v>31.977576754385964</v>
      </c>
    </row>
    <row r="10" spans="2:5" x14ac:dyDescent="0.2">
      <c r="B10" s="121" t="s">
        <v>90</v>
      </c>
      <c r="C10" s="84">
        <v>9176.4599999999991</v>
      </c>
      <c r="D10" s="84">
        <f t="shared" si="1"/>
        <v>37.732154605263155</v>
      </c>
      <c r="E10" s="85">
        <f t="shared" si="0"/>
        <v>49.11236293859649</v>
      </c>
    </row>
    <row r="11" spans="2:5" x14ac:dyDescent="0.2">
      <c r="B11" s="134" t="s">
        <v>175</v>
      </c>
      <c r="C11" s="84">
        <v>5009.28</v>
      </c>
      <c r="D11" s="84">
        <f t="shared" ref="D11" si="2">C11/30.4/8</f>
        <v>20.597368421052632</v>
      </c>
      <c r="E11" s="85">
        <f t="shared" si="0"/>
        <v>31.977576754385964</v>
      </c>
    </row>
    <row r="12" spans="2:5" ht="13.5" thickBot="1" x14ac:dyDescent="0.25">
      <c r="B12" s="122" t="s">
        <v>158</v>
      </c>
      <c r="C12" s="84">
        <v>11788.65</v>
      </c>
      <c r="D12" s="119">
        <f t="shared" si="1"/>
        <v>48.473067434210527</v>
      </c>
      <c r="E12" s="120">
        <f t="shared" si="0"/>
        <v>59.853275767543863</v>
      </c>
    </row>
    <row r="14" spans="2:5" ht="13.5" thickBot="1" x14ac:dyDescent="0.25"/>
    <row r="15" spans="2:5" ht="13.5" thickBot="1" x14ac:dyDescent="0.25">
      <c r="B15" s="166" t="s">
        <v>94</v>
      </c>
      <c r="C15" s="75" t="s">
        <v>85</v>
      </c>
    </row>
    <row r="16" spans="2:5" x14ac:dyDescent="0.2">
      <c r="B16" s="74" t="s">
        <v>95</v>
      </c>
      <c r="C16" s="85">
        <v>2800</v>
      </c>
    </row>
    <row r="17" spans="2:5" x14ac:dyDescent="0.2">
      <c r="B17" s="74" t="s">
        <v>96</v>
      </c>
      <c r="C17" s="85">
        <v>1600</v>
      </c>
    </row>
    <row r="18" spans="2:5" x14ac:dyDescent="0.2">
      <c r="B18" s="74" t="s">
        <v>127</v>
      </c>
      <c r="C18" s="85">
        <v>1700</v>
      </c>
    </row>
    <row r="19" spans="2:5" x14ac:dyDescent="0.2">
      <c r="B19" s="74" t="s">
        <v>97</v>
      </c>
      <c r="C19" s="85">
        <v>12000</v>
      </c>
    </row>
    <row r="20" spans="2:5" x14ac:dyDescent="0.2">
      <c r="B20" s="74" t="s">
        <v>98</v>
      </c>
      <c r="C20" s="85">
        <v>1750</v>
      </c>
    </row>
    <row r="21" spans="2:5" x14ac:dyDescent="0.2">
      <c r="B21" s="74" t="s">
        <v>99</v>
      </c>
      <c r="C21" s="85">
        <v>200</v>
      </c>
    </row>
    <row r="22" spans="2:5" ht="13.5" thickBot="1" x14ac:dyDescent="0.25">
      <c r="B22" s="74" t="s">
        <v>128</v>
      </c>
      <c r="C22" s="85">
        <v>1800</v>
      </c>
    </row>
    <row r="23" spans="2:5" ht="13.5" thickBot="1" x14ac:dyDescent="0.25">
      <c r="B23" s="76" t="s">
        <v>100</v>
      </c>
      <c r="C23" s="86">
        <f>SUM(C16:C22)</f>
        <v>21850</v>
      </c>
    </row>
    <row r="26" spans="2:5" ht="13.5" thickBot="1" x14ac:dyDescent="0.25"/>
    <row r="27" spans="2:5" ht="13.5" thickBot="1" x14ac:dyDescent="0.25">
      <c r="B27" s="167" t="s">
        <v>101</v>
      </c>
      <c r="C27" s="73">
        <v>8</v>
      </c>
      <c r="D27" s="167" t="s">
        <v>102</v>
      </c>
      <c r="E27" s="87">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3.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4.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Ing. Carlos Glez</cp:lastModifiedBy>
  <cp:lastPrinted>2007-09-19T15:25:33Z</cp:lastPrinted>
  <dcterms:created xsi:type="dcterms:W3CDTF">2001-07-30T17:19:04Z</dcterms:created>
  <dcterms:modified xsi:type="dcterms:W3CDTF">2015-07-15T15:59:02Z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