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ser\Documents\IWM\Repositorio IWM\Proyectos\Activos\Viaticos_q\2. Estimacion y planeacion\1. Estimacion\"/>
    </mc:Choice>
  </mc:AlternateContent>
  <bookViews>
    <workbookView xWindow="6810" yWindow="-105" windowWidth="8490" windowHeight="7425" tabRatio="711" activeTab="4"/>
  </bookViews>
  <sheets>
    <sheet name="Instrucciones" sheetId="36" r:id="rId1"/>
    <sheet name="Factor de complejidad Téc y Amb" sheetId="37" r:id="rId2"/>
    <sheet name="Estimación de Tamaño UCP" sheetId="35" r:id="rId3"/>
    <sheet name="Estimación de Esfuerzo" sheetId="26" r:id="rId4"/>
    <sheet name="Recursos" sheetId="40" r:id="rId5"/>
  </sheets>
  <externalReferences>
    <externalReference r:id="rId6"/>
    <externalReference r:id="rId7"/>
    <externalReference r:id="rId8"/>
    <externalReference r:id="rId9"/>
  </externalReferences>
  <definedNames>
    <definedName name="AvanceEstFecha">'[1]Métricas Base Workflow'!$F$95</definedName>
    <definedName name="BACHrs">'[2]Esfuerzo, Costos y Tamaño'!#REF!</definedName>
    <definedName name="BACPesos">'[2]Esfuerzo, Costos y Tamaño'!#REF!</definedName>
    <definedName name="Complej.">#REF!</definedName>
    <definedName name="Concluido">#REF!</definedName>
    <definedName name="CVHrs">'[2]Esfuerzo, Costos y Tamaño'!#REF!</definedName>
    <definedName name="Desicion">#REF!</definedName>
    <definedName name="Desición">#REF!</definedName>
    <definedName name="EACHrs">'[2]Esfuerzo, Costos y Tamaño'!#REF!</definedName>
    <definedName name="Entregables">#REF!</definedName>
    <definedName name="Locacion">[3]Parámetros!$B$1:$B$4</definedName>
    <definedName name="mstProjectResources">OFFSET([4]Masters!$N$2,0,0,COUNTA([4]Masters!$N$1:$N$65536)-1)</definedName>
    <definedName name="Ocupacion">#REF!</definedName>
    <definedName name="SPIHrs">'[2]Esfuerzo, Costos y Tamaño'!#REF!</definedName>
    <definedName name="SVHrs">'[2]Esfuerzo, Costos y Tamaño'!#REF!</definedName>
    <definedName name="UEN">[3]Parámetros!$A$1:$A$2</definedName>
    <definedName name="ValorActualHrs">'[2]Esfuerzo, Costos y Tamaño'!#REF!</definedName>
    <definedName name="ValorActualPesos">'[2]Esfuerzo, Costos y Tamaño'!#REF!</definedName>
    <definedName name="ValorGanadoHrs">'[2]Esfuerzo, Costos y Tamaño'!#REF!</definedName>
    <definedName name="ValorPlaneadoHrs">'[2]Esfuerzo, Costos y Tamaño'!#REF!</definedName>
  </definedNames>
  <calcPr calcId="152511"/>
</workbook>
</file>

<file path=xl/calcChain.xml><?xml version="1.0" encoding="utf-8"?>
<calcChain xmlns="http://schemas.openxmlformats.org/spreadsheetml/2006/main">
  <c r="J52" i="26" l="1"/>
  <c r="J53" i="26"/>
  <c r="J54" i="26"/>
  <c r="J51" i="26"/>
  <c r="J49" i="26"/>
  <c r="J48" i="26"/>
  <c r="J46" i="26"/>
  <c r="J45" i="26"/>
  <c r="J40" i="26"/>
  <c r="J41" i="26"/>
  <c r="J42" i="26"/>
  <c r="J43" i="26"/>
  <c r="J39" i="26"/>
  <c r="J37" i="26"/>
  <c r="J33" i="26"/>
  <c r="J34" i="26"/>
  <c r="J35" i="26"/>
  <c r="J32" i="26"/>
  <c r="J27" i="26"/>
  <c r="J28" i="26"/>
  <c r="J29" i="26"/>
  <c r="J26" i="26"/>
  <c r="J19" i="26"/>
  <c r="J20" i="26"/>
  <c r="J21" i="26"/>
  <c r="J22" i="26"/>
  <c r="J23" i="26"/>
  <c r="J24" i="26"/>
  <c r="J18" i="26"/>
  <c r="J10" i="26"/>
  <c r="J11" i="26"/>
  <c r="J12" i="26"/>
  <c r="J13" i="26"/>
  <c r="J14" i="26"/>
  <c r="J15" i="26"/>
  <c r="F3" i="26" l="1"/>
  <c r="D2" i="26"/>
  <c r="G3" i="35"/>
  <c r="K49" i="26" l="1"/>
  <c r="K43" i="26"/>
  <c r="H15" i="26"/>
  <c r="F47" i="26" l="1"/>
  <c r="F31" i="26"/>
  <c r="F25" i="26"/>
  <c r="K54" i="26"/>
  <c r="K53" i="26"/>
  <c r="K52" i="26"/>
  <c r="K51" i="26"/>
  <c r="F50" i="26"/>
  <c r="H53" i="26" s="1"/>
  <c r="K48" i="26"/>
  <c r="K47" i="26" s="1"/>
  <c r="K46" i="26"/>
  <c r="K45" i="26"/>
  <c r="F44" i="26"/>
  <c r="K42" i="26"/>
  <c r="K41" i="26"/>
  <c r="K40" i="26"/>
  <c r="K39" i="26"/>
  <c r="F38" i="26"/>
  <c r="K37" i="26"/>
  <c r="K36" i="26" s="1"/>
  <c r="F36" i="26"/>
  <c r="K35" i="26"/>
  <c r="K34" i="26"/>
  <c r="K33" i="26"/>
  <c r="K32" i="26"/>
  <c r="K29" i="26"/>
  <c r="K28" i="26"/>
  <c r="K27" i="26"/>
  <c r="K26" i="26"/>
  <c r="K24" i="26"/>
  <c r="K23" i="26"/>
  <c r="K22" i="26"/>
  <c r="K21" i="26"/>
  <c r="K20" i="26"/>
  <c r="K19" i="26"/>
  <c r="K18" i="26"/>
  <c r="F17" i="26"/>
  <c r="K15" i="26"/>
  <c r="K14" i="26"/>
  <c r="K13" i="26"/>
  <c r="K12" i="26"/>
  <c r="K11" i="26"/>
  <c r="K10" i="26"/>
  <c r="F9" i="26"/>
  <c r="H14" i="26" s="1"/>
  <c r="K9" i="26" l="1"/>
  <c r="K44" i="26"/>
  <c r="K31" i="26"/>
  <c r="K38" i="26"/>
  <c r="K17" i="26"/>
  <c r="K25" i="26"/>
  <c r="H52" i="26"/>
  <c r="H54" i="26"/>
  <c r="F16" i="26"/>
  <c r="H29" i="26" s="1"/>
  <c r="H13" i="26"/>
  <c r="H11" i="26"/>
  <c r="K50" i="26"/>
  <c r="H22" i="26"/>
  <c r="H10" i="26"/>
  <c r="H12" i="26"/>
  <c r="F30" i="26"/>
  <c r="H51" i="26"/>
  <c r="K16" i="26" l="1"/>
  <c r="K30" i="26"/>
  <c r="H23" i="26"/>
  <c r="H19" i="26"/>
  <c r="H18" i="26"/>
  <c r="H27" i="26"/>
  <c r="H26" i="26"/>
  <c r="H21" i="26"/>
  <c r="H28" i="26"/>
  <c r="H20" i="26"/>
  <c r="H24" i="26"/>
  <c r="H43" i="26"/>
  <c r="H41" i="26"/>
  <c r="H39" i="26"/>
  <c r="H37" i="26"/>
  <c r="H35" i="26"/>
  <c r="H33" i="26"/>
  <c r="H42" i="26"/>
  <c r="H40" i="26"/>
  <c r="H34" i="26"/>
  <c r="H32" i="26"/>
  <c r="F7" i="26"/>
  <c r="K56" i="26" l="1"/>
  <c r="K57" i="26" s="1"/>
  <c r="K63" i="26" s="1"/>
  <c r="K65" i="26" s="1"/>
  <c r="E50" i="26"/>
  <c r="E44" i="26"/>
  <c r="E38" i="26"/>
  <c r="E36" i="26"/>
  <c r="E9" i="26"/>
  <c r="E31" i="26"/>
  <c r="E47" i="26"/>
  <c r="E16" i="26"/>
  <c r="E30" i="26" l="1"/>
  <c r="D11" i="40"/>
  <c r="F9" i="35" l="1"/>
  <c r="F10" i="35"/>
  <c r="F11" i="35"/>
  <c r="F12" i="35"/>
  <c r="F13" i="35"/>
  <c r="F14" i="35"/>
  <c r="F15" i="35"/>
  <c r="F16" i="35"/>
  <c r="F8" i="35"/>
  <c r="D12" i="40" l="1"/>
  <c r="D6" i="40" l="1"/>
  <c r="D7" i="40"/>
  <c r="D8" i="40"/>
  <c r="D9" i="40"/>
  <c r="D10" i="40"/>
  <c r="D5" i="40"/>
  <c r="C23" i="40"/>
  <c r="E27" i="40" s="1"/>
  <c r="G9" i="35"/>
  <c r="G10" i="35"/>
  <c r="G11" i="35"/>
  <c r="G12" i="35"/>
  <c r="G13" i="35"/>
  <c r="G15" i="35"/>
  <c r="G16" i="35"/>
  <c r="F17" i="35"/>
  <c r="G17" i="35" s="1"/>
  <c r="F18" i="35"/>
  <c r="G18" i="35" s="1"/>
  <c r="F19" i="35"/>
  <c r="G19" i="35" s="1"/>
  <c r="F20" i="35"/>
  <c r="G20" i="35" s="1"/>
  <c r="F21" i="35"/>
  <c r="G21" i="35" s="1"/>
  <c r="F22" i="35"/>
  <c r="G22" i="35" s="1"/>
  <c r="F23" i="35"/>
  <c r="G23" i="35" s="1"/>
  <c r="F24" i="35"/>
  <c r="G24" i="35" s="1"/>
  <c r="F25" i="35"/>
  <c r="G25" i="35" s="1"/>
  <c r="F26" i="35"/>
  <c r="G26" i="35" s="1"/>
  <c r="F27" i="35"/>
  <c r="G27" i="35" s="1"/>
  <c r="F28" i="35"/>
  <c r="G28" i="35" s="1"/>
  <c r="F29" i="35"/>
  <c r="G29" i="35" s="1"/>
  <c r="F5" i="35"/>
  <c r="G5" i="35" s="1"/>
  <c r="F6" i="35"/>
  <c r="G6" i="35" s="1"/>
  <c r="F7" i="35"/>
  <c r="G7" i="35" s="1"/>
  <c r="F14" i="37"/>
  <c r="F16" i="37"/>
  <c r="F30" i="37"/>
  <c r="F31" i="37"/>
  <c r="F32" i="37"/>
  <c r="F33" i="37"/>
  <c r="F34" i="37"/>
  <c r="F35" i="37"/>
  <c r="F36" i="37"/>
  <c r="F37" i="37"/>
  <c r="F11" i="37"/>
  <c r="F12" i="37"/>
  <c r="F13" i="37"/>
  <c r="F15" i="37"/>
  <c r="F17" i="37"/>
  <c r="F18" i="37"/>
  <c r="F19" i="37"/>
  <c r="F20" i="37"/>
  <c r="F21" i="37"/>
  <c r="F22" i="37"/>
  <c r="F23" i="37"/>
  <c r="G14" i="35"/>
  <c r="G8" i="35"/>
  <c r="E12" i="40" l="1"/>
  <c r="E11" i="40"/>
  <c r="E5" i="40"/>
  <c r="E10" i="40"/>
  <c r="E9" i="40"/>
  <c r="E6" i="40"/>
  <c r="E7" i="40"/>
  <c r="E8" i="40"/>
  <c r="F38" i="37"/>
  <c r="F24" i="37"/>
  <c r="H9" i="37"/>
  <c r="H28" i="37"/>
  <c r="D4" i="26"/>
</calcChain>
</file>

<file path=xl/comments1.xml><?xml version="1.0" encoding="utf-8"?>
<comments xmlns="http://schemas.openxmlformats.org/spreadsheetml/2006/main">
  <authors>
    <author>Pablo A. De Ninnis</author>
    <author>Ra Acosta</author>
  </authors>
  <commentList>
    <comment ref="D8" authorId="0" shapeId="0">
      <text>
        <r>
          <rPr>
            <b/>
            <sz val="8"/>
            <color indexed="81"/>
            <rFont val="Tahoma"/>
            <family val="2"/>
          </rPr>
          <t>Tamaño</t>
        </r>
      </text>
    </comment>
    <comment ref="F8" authorId="1" shapeId="0">
      <text>
        <r>
          <rPr>
            <b/>
            <sz val="8"/>
            <color indexed="81"/>
            <rFont val="Tahoma"/>
            <family val="2"/>
          </rPr>
          <t xml:space="preserve">Esfuerzo estimado en horas: </t>
        </r>
        <r>
          <rPr>
            <sz val="8"/>
            <color indexed="81"/>
            <rFont val="Tahoma"/>
            <family val="2"/>
          </rPr>
          <t>Se tiene que agregar la cantidad de horas planeadas para cada actividad. Se tienen que llenar los espacios en blanco. Los espacios en gris se generan automáticamente al llenar los espacios en blanco.</t>
        </r>
      </text>
    </comment>
    <comment ref="H8" authorId="1" shapeId="0">
      <text>
        <r>
          <rPr>
            <b/>
            <sz val="12"/>
            <color indexed="81"/>
            <rFont val="Tahoma"/>
            <family val="2"/>
          </rPr>
          <t>Factor de Productividad:</t>
        </r>
        <r>
          <rPr>
            <sz val="12"/>
            <color indexed="81"/>
            <rFont val="Tahoma"/>
            <family val="2"/>
          </rPr>
          <t xml:space="preserve">
Este es el factor histórico que nos permite conocer aproximadamente cuanto tiempo en promedio toma desarrollar cada caso de uso en otros proyectos similares.
</t>
        </r>
      </text>
    </comment>
  </commentList>
</comments>
</file>

<file path=xl/sharedStrings.xml><?xml version="1.0" encoding="utf-8"?>
<sst xmlns="http://schemas.openxmlformats.org/spreadsheetml/2006/main" count="336" uniqueCount="200">
  <si>
    <t>Nº</t>
  </si>
  <si>
    <t>Requerimientos</t>
  </si>
  <si>
    <t>%</t>
  </si>
  <si>
    <t>Valor</t>
  </si>
  <si>
    <t>Descripción</t>
  </si>
  <si>
    <t>ESTIMACION DE TAMAÑO</t>
  </si>
  <si>
    <t>Nombre del Caso de Uso</t>
  </si>
  <si>
    <t>Observaciones:</t>
  </si>
  <si>
    <t>Monitoreo y Control de Proyectos</t>
  </si>
  <si>
    <t>Simple</t>
  </si>
  <si>
    <t>* Interfaz de usuario compleja. 
* Toca 3 o mas entidades de bases de datos. 
* Toma mas de 7 pasos o transacciones en el caso de uso. 
* Su implementación involucra mas de 10 clases. 
* Interacción con Interfaces adicionales alta</t>
  </si>
  <si>
    <t>Sistema Distribuido</t>
  </si>
  <si>
    <t>Facilidad de Instalación</t>
  </si>
  <si>
    <t>Facilidad de uso</t>
  </si>
  <si>
    <t>Portabilidad</t>
  </si>
  <si>
    <t>Concurrencia</t>
  </si>
  <si>
    <t>Peso</t>
  </si>
  <si>
    <t>Objetivos de performance o tiempo de respuesta</t>
  </si>
  <si>
    <t>Eficiencia del usuario final</t>
  </si>
  <si>
    <t>Procesamiento interno complejo</t>
  </si>
  <si>
    <t>El código debe ser reutilizable</t>
  </si>
  <si>
    <t>Incluye objetivos especiales de seguridad</t>
  </si>
  <si>
    <t>Se requieren facilidades especiales de entrenamiento a usuarios</t>
  </si>
  <si>
    <t>T1</t>
  </si>
  <si>
    <t>T2</t>
  </si>
  <si>
    <t>T3</t>
  </si>
  <si>
    <t>T4</t>
  </si>
  <si>
    <t>T5</t>
  </si>
  <si>
    <t>T6</t>
  </si>
  <si>
    <t>T7</t>
  </si>
  <si>
    <t>T8</t>
  </si>
  <si>
    <t>T9</t>
  </si>
  <si>
    <t>T10</t>
  </si>
  <si>
    <t>T11</t>
  </si>
  <si>
    <t>T12</t>
  </si>
  <si>
    <t>T13</t>
  </si>
  <si>
    <t>Factor 
Calculado</t>
  </si>
  <si>
    <t>Comentarios</t>
  </si>
  <si>
    <t>Factor Técnico Total:</t>
  </si>
  <si>
    <t>Factor de Complejidad Ambiental (ECF)</t>
  </si>
  <si>
    <t>E1</t>
  </si>
  <si>
    <t>E2</t>
  </si>
  <si>
    <t>E3</t>
  </si>
  <si>
    <t>E4</t>
  </si>
  <si>
    <t>E5</t>
  </si>
  <si>
    <t>E6</t>
  </si>
  <si>
    <t>E7</t>
  </si>
  <si>
    <t>E8</t>
  </si>
  <si>
    <t>Familiaridad con el modelo y/o proceso utilizado</t>
  </si>
  <si>
    <t>Factor Ambiental Total:</t>
  </si>
  <si>
    <t>Experiencia en la aplicación</t>
  </si>
  <si>
    <t>Experiencia en orientación a objetos</t>
  </si>
  <si>
    <t>Motivación</t>
  </si>
  <si>
    <t>Estabilidad de los requerimientos</t>
  </si>
  <si>
    <t>Persona de medio-tiempo</t>
  </si>
  <si>
    <t>Dificultad del lenguaje de programación</t>
  </si>
  <si>
    <t>Peso Ajustado</t>
  </si>
  <si>
    <t>Total UCP:</t>
  </si>
  <si>
    <t>Factor 
Ambiental</t>
  </si>
  <si>
    <t>Factor 
Técnico</t>
  </si>
  <si>
    <t>Factor Técnico Calculado</t>
  </si>
  <si>
    <t>Factor Ambiental Calculado</t>
  </si>
  <si>
    <t>UCP</t>
  </si>
  <si>
    <t>Factor de Productividad</t>
  </si>
  <si>
    <t>Duración estimada en semanas a partir del KickOff</t>
  </si>
  <si>
    <t>Duración en Semanas</t>
  </si>
  <si>
    <t>Promedio</t>
  </si>
  <si>
    <t>Complejo</t>
  </si>
  <si>
    <t>ESTIMACIÓN DE ESFUERZO</t>
  </si>
  <si>
    <t>Facilidad de cambio</t>
  </si>
  <si>
    <t>Capacidad de analista líder</t>
  </si>
  <si>
    <t>* Interfaz de usuario simple. 
* Toca únicamente una entidad de base de datos. 
* Se escenario de éxito consiste de 3 pasos o menos. 
* Su implementación involucra menos de 5 clases. 
* Interacción con Interfaces baja</t>
  </si>
  <si>
    <t>Factor Técnico</t>
  </si>
  <si>
    <t>Provee acceso directo a terceras partes</t>
  </si>
  <si>
    <t>Factor de Complejidad Técnico (TCF)</t>
  </si>
  <si>
    <t>Categoría de CU</t>
  </si>
  <si>
    <t>Complejidad</t>
  </si>
  <si>
    <t xml:space="preserve"> </t>
  </si>
  <si>
    <t>Para el Análisis de los casos de uso y su categoría se debe tomar en cuenta si alguno de los puntos de la descripción aplica para ellos</t>
  </si>
  <si>
    <t>* Diseño de interfaz promedio. 
* Toca 2 o mas entidades de bases de datos. 
* Se necesitan de 4 a 7 pasos o transacciones. 
* Su implementación involucra entre 5 y 10 clases. 
* Interacción con Interfaces adicionales media</t>
  </si>
  <si>
    <t>Factor de Complejidad Ambiental FCA (Environmental Complexity Factor)</t>
  </si>
  <si>
    <t>Factor de Complejidad Técnica FCT (Technical Complexity Factor)</t>
  </si>
  <si>
    <t>Descripción de las categorías de los Casos de Uso</t>
  </si>
  <si>
    <t>Costo</t>
  </si>
  <si>
    <t>RECURSOS</t>
  </si>
  <si>
    <t>Líder de proyecto</t>
  </si>
  <si>
    <t>Analista</t>
  </si>
  <si>
    <t>Tester</t>
  </si>
  <si>
    <t>Administración</t>
  </si>
  <si>
    <t>Suelgo integrado</t>
  </si>
  <si>
    <t>Salario por hora</t>
  </si>
  <si>
    <t>Salario por hora integrada</t>
  </si>
  <si>
    <t>Gastos Fijos</t>
  </si>
  <si>
    <t>Internet -Telefono</t>
  </si>
  <si>
    <t>Papelería</t>
  </si>
  <si>
    <t>Renta</t>
  </si>
  <si>
    <t>Luz</t>
  </si>
  <si>
    <t>Agua</t>
  </si>
  <si>
    <t>GASTO MENSUAL</t>
  </si>
  <si>
    <t>NÚMERO DE EMPLEADOS</t>
  </si>
  <si>
    <t>COSTO POR HORA</t>
  </si>
  <si>
    <t>Costo unitario</t>
  </si>
  <si>
    <t>Cantidad de recurso</t>
  </si>
  <si>
    <t>Tipo de Recurso</t>
  </si>
  <si>
    <t>Estimación y Planeación</t>
  </si>
  <si>
    <t>Entrega al Cliente</t>
  </si>
  <si>
    <t xml:space="preserve">Administración de la Configuración (CM) </t>
  </si>
  <si>
    <t>Levantamiento de requerimientos</t>
  </si>
  <si>
    <t>Análisis de requerimientos</t>
  </si>
  <si>
    <t>Generación de matriz de rastreabilidad</t>
  </si>
  <si>
    <t>Generar la propuesta comercial</t>
  </si>
  <si>
    <t>Desarrollo de casos de uso</t>
  </si>
  <si>
    <t xml:space="preserve">Estimación  </t>
  </si>
  <si>
    <t>Planeación</t>
  </si>
  <si>
    <t>Ejecución de los casos de prueba</t>
  </si>
  <si>
    <t>Costo Total del desarrollo del  Proyecto</t>
  </si>
  <si>
    <t>Costo Requerimientos</t>
  </si>
  <si>
    <t>Costo total Estimación y Planeación</t>
  </si>
  <si>
    <t>Costo Estimación</t>
  </si>
  <si>
    <t>Costo Planeación</t>
  </si>
  <si>
    <t>Costo Desarrollo</t>
  </si>
  <si>
    <t>Costo Testing</t>
  </si>
  <si>
    <t>Costo Implementación y Validación</t>
  </si>
  <si>
    <t>Costo Entrega Cliente</t>
  </si>
  <si>
    <t>Aseguramiento de la Calidad</t>
  </si>
  <si>
    <t>Limpieza y Jardinería</t>
  </si>
  <si>
    <t>Articulos de limpieza y despensa</t>
  </si>
  <si>
    <t>Medición de proyectos</t>
  </si>
  <si>
    <t>Factor de Productividad en hrs/cup</t>
  </si>
  <si>
    <t>Esfuerzo en Horas</t>
  </si>
  <si>
    <t>IVA</t>
  </si>
  <si>
    <t>Soporte Organizacional</t>
  </si>
  <si>
    <t>Costo Soporte Organizacional</t>
  </si>
  <si>
    <t>El factor de productividad es aquel que nos permite saber cuantas horas toma realizar un punto de caso de uso. Este factor debe ser tomado de datos históricos de proyectos similares.</t>
  </si>
  <si>
    <r>
      <rPr>
        <b/>
        <sz val="11"/>
        <rFont val="Calibri"/>
        <family val="2"/>
      </rPr>
      <t>Valor:</t>
    </r>
    <r>
      <rPr>
        <sz val="11"/>
        <rFont val="Calibri"/>
        <family val="2"/>
      </rPr>
      <t xml:space="preserve"> Representa el grado de importancia del Factor de Complejidad en el proyecto. El valor va desde 0 al 5 tomando en cuenta que 0 es irrelevante para el proyecto y 5 que es un aporte muy importante.</t>
    </r>
    <r>
      <rPr>
        <i/>
        <sz val="11"/>
        <rFont val="Calibri"/>
        <family val="2"/>
      </rPr>
      <t xml:space="preserve"> </t>
    </r>
  </si>
  <si>
    <r>
      <rPr>
        <b/>
        <sz val="11"/>
        <rFont val="Calibri"/>
        <family val="2"/>
        <scheme val="minor"/>
      </rPr>
      <t>Complejidad</t>
    </r>
    <r>
      <rPr>
        <sz val="11"/>
        <rFont val="Calibri"/>
        <family val="2"/>
        <scheme val="minor"/>
      </rPr>
      <t xml:space="preserve">: Se refiere a la dificultas que el Factor de Complejidad ya sea Técnico o Ambiental puede presentar cuando se realice el proyecto. </t>
    </r>
  </si>
  <si>
    <t xml:space="preserve">MÉTODO DE ESTIMACIÓN: </t>
  </si>
  <si>
    <t>PUNTOS DE CASO DE USO</t>
  </si>
  <si>
    <t>Existen 13 factores técnicos estándar para estimar el impacto en la productividad de diversas cuestiones técnicas que tienen en una aplicación</t>
  </si>
  <si>
    <t>Ciclo de Vida del Proyecto</t>
  </si>
  <si>
    <t xml:space="preserve">PRECIO TOTAL </t>
  </si>
  <si>
    <t>SIN IVA</t>
  </si>
  <si>
    <t>CON IVA</t>
  </si>
  <si>
    <t>OTROS GASTOS</t>
  </si>
  <si>
    <t>UTILIDAD</t>
  </si>
  <si>
    <t>Tamaño del Producto:</t>
  </si>
  <si>
    <t>Factor de Productividad:</t>
  </si>
  <si>
    <t>Esfuerzo de Desarrollo:</t>
  </si>
  <si>
    <t>ucp</t>
  </si>
  <si>
    <t>hrs/ucp</t>
  </si>
  <si>
    <t>Diseño gráfico de la página</t>
  </si>
  <si>
    <t>Costo del diseño</t>
  </si>
  <si>
    <t>Elaborar el plan del proyecto</t>
  </si>
  <si>
    <t>Presentación del proyecto al equipo</t>
  </si>
  <si>
    <t>Ejecución</t>
  </si>
  <si>
    <t>Arquitecto</t>
  </si>
  <si>
    <t>Costo Ejecución</t>
  </si>
  <si>
    <t>Generación del reporte de pruebas</t>
  </si>
  <si>
    <t>Elaborar la estimación</t>
  </si>
  <si>
    <t>Elaboración del plan de pruebas</t>
  </si>
  <si>
    <t>Elaborar el manual técnico</t>
  </si>
  <si>
    <t>Elaborar el manual del usuario</t>
  </si>
  <si>
    <t>Firmar la propuesta comercial</t>
  </si>
  <si>
    <t>Análisis y diseño</t>
  </si>
  <si>
    <t xml:space="preserve">Desarrollo </t>
  </si>
  <si>
    <t>Testing</t>
  </si>
  <si>
    <t>Implementación y validación</t>
  </si>
  <si>
    <t>Existen 8 factores ambientales estándar para estimar el impacto en la productividad de diversas cuestiones ambientales que tienen en una aplicación</t>
  </si>
  <si>
    <t>Validación de requerimientos</t>
  </si>
  <si>
    <t>Desarrollador</t>
  </si>
  <si>
    <t>Aseguramiento de la calidad</t>
  </si>
  <si>
    <t>Administrador de la configuración</t>
  </si>
  <si>
    <t>Aprobar propuesta comercial</t>
  </si>
  <si>
    <t>Definir el plan de pruebas</t>
  </si>
  <si>
    <t>Definir la arquitectura del proyecto</t>
  </si>
  <si>
    <t>Analizar y diseñar la arquitectura</t>
  </si>
  <si>
    <t>Realizar validación del producto</t>
  </si>
  <si>
    <t>Entrega el producto al cliente</t>
  </si>
  <si>
    <t>Codificar la pagina</t>
  </si>
  <si>
    <t>15</t>
  </si>
  <si>
    <t>Manejo de usuarios</t>
  </si>
  <si>
    <t>Intermedio</t>
  </si>
  <si>
    <t>No</t>
  </si>
  <si>
    <t>Aprobación del plan de proyecto</t>
  </si>
  <si>
    <t>Corrección de los defectos</t>
  </si>
  <si>
    <t xml:space="preserve">Verificación </t>
  </si>
  <si>
    <t>Costo de Análisis y Diseño</t>
  </si>
  <si>
    <t>Ejecutar el proceso toma de decisiones</t>
  </si>
  <si>
    <t>Realizar la verificación de análisis y diseño</t>
  </si>
  <si>
    <t>Verificar casos de uso</t>
  </si>
  <si>
    <t>Identificar riesgos ambientes y técnicos que afectaran al proyecto</t>
  </si>
  <si>
    <t>Ejecutar el proceso de riesgos</t>
  </si>
  <si>
    <t>Establecer adaptaciones del proyecto</t>
  </si>
  <si>
    <t>Categoría</t>
  </si>
  <si>
    <t>Reusó</t>
  </si>
  <si>
    <t>Administración de proyectos y áreas de proyectos</t>
  </si>
  <si>
    <t>Administración viáticos por proyecto</t>
  </si>
  <si>
    <t>Administración de gastos</t>
  </si>
  <si>
    <t>Generación de reportes</t>
  </si>
  <si>
    <t>La duración estimada en semanas nos sirve para calcular la cantidad de actividades de algunos workflows (flujos de trabajo) que son fijos y que dichas actividades son periódicas. Este valor será modificado conforme se tengan registros históricos de productividad por flujos de trabajo.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</si>
</sst>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quot;$&quot;#,##0.00"/>
    <numFmt numFmtId="166" formatCode="0.00000"/>
  </numFmts>
  <fonts count="47" x14ac:knownFonts="1">
    <font>
      <sz val="10"/>
      <name val="Arial"/>
    </font>
    <font>
      <sz val="11"/>
      <color theme="1"/>
      <name val="Calibri"/>
      <family val="2"/>
      <scheme val="minor"/>
    </font>
    <font>
      <sz val="8"/>
      <color indexed="81"/>
      <name val="Tahoma"/>
      <family val="2"/>
    </font>
    <font>
      <b/>
      <sz val="8"/>
      <color indexed="81"/>
      <name val="Tahoma"/>
      <family val="2"/>
    </font>
    <font>
      <sz val="8"/>
      <name val="Arial"/>
      <family val="2"/>
    </font>
    <font>
      <sz val="11"/>
      <name val="Calibri"/>
      <family val="2"/>
    </font>
    <font>
      <i/>
      <sz val="11"/>
      <name val="Calibri"/>
      <family val="2"/>
    </font>
    <font>
      <b/>
      <sz val="12"/>
      <name val="Calibri"/>
      <family val="2"/>
      <scheme val="minor"/>
    </font>
    <font>
      <sz val="11"/>
      <name val="Calibri"/>
      <family val="2"/>
      <scheme val="minor"/>
    </font>
    <font>
      <b/>
      <sz val="11"/>
      <name val="Calibri"/>
      <family val="2"/>
      <scheme val="minor"/>
    </font>
    <font>
      <b/>
      <sz val="11"/>
      <color indexed="9"/>
      <name val="Calibri"/>
      <family val="2"/>
      <scheme val="minor"/>
    </font>
    <font>
      <sz val="11"/>
      <color indexed="9"/>
      <name val="Calibri"/>
      <family val="2"/>
      <scheme val="minor"/>
    </font>
    <font>
      <u/>
      <sz val="11"/>
      <name val="Calibri"/>
      <family val="2"/>
      <scheme val="minor"/>
    </font>
    <font>
      <b/>
      <sz val="11"/>
      <color indexed="18"/>
      <name val="Calibri"/>
      <family val="2"/>
      <scheme val="minor"/>
    </font>
    <font>
      <i/>
      <sz val="11"/>
      <name val="Calibri"/>
      <family val="2"/>
      <scheme val="minor"/>
    </font>
    <font>
      <sz val="11"/>
      <color theme="0"/>
      <name val="Calibri"/>
      <family val="2"/>
      <scheme val="minor"/>
    </font>
    <font>
      <b/>
      <sz val="20"/>
      <color indexed="9"/>
      <name val="Calibri"/>
      <family val="2"/>
      <scheme val="minor"/>
    </font>
    <font>
      <b/>
      <sz val="16"/>
      <color indexed="9"/>
      <name val="Calibri"/>
      <family val="2"/>
      <scheme val="minor"/>
    </font>
    <font>
      <sz val="20"/>
      <color theme="0"/>
      <name val="Calibri"/>
      <family val="2"/>
      <scheme val="minor"/>
    </font>
    <font>
      <sz val="20"/>
      <name val="Calibri"/>
      <family val="2"/>
      <scheme val="minor"/>
    </font>
    <font>
      <b/>
      <sz val="14"/>
      <name val="Calibri"/>
      <family val="2"/>
      <scheme val="minor"/>
    </font>
    <font>
      <b/>
      <sz val="16"/>
      <name val="Calibri"/>
      <family val="2"/>
      <scheme val="minor"/>
    </font>
    <font>
      <b/>
      <sz val="18"/>
      <name val="Calibri"/>
      <family val="2"/>
      <scheme val="minor"/>
    </font>
    <font>
      <b/>
      <sz val="14"/>
      <color indexed="9"/>
      <name val="Calibri"/>
      <family val="2"/>
      <scheme val="minor"/>
    </font>
    <font>
      <b/>
      <sz val="18"/>
      <color indexed="9"/>
      <name val="Calibri"/>
      <family val="2"/>
      <scheme val="minor"/>
    </font>
    <font>
      <sz val="12"/>
      <name val="Calibri"/>
      <family val="2"/>
      <scheme val="minor"/>
    </font>
    <font>
      <u/>
      <sz val="12"/>
      <name val="Calibri"/>
      <family val="2"/>
      <scheme val="minor"/>
    </font>
    <font>
      <sz val="10"/>
      <name val="Arial"/>
      <family val="2"/>
    </font>
    <font>
      <b/>
      <sz val="11"/>
      <name val="Calibri"/>
      <family val="2"/>
    </font>
    <font>
      <b/>
      <sz val="14"/>
      <name val="Calibri"/>
      <family val="2"/>
    </font>
    <font>
      <sz val="10"/>
      <name val="Arial"/>
      <family val="2"/>
    </font>
    <font>
      <sz val="10"/>
      <color theme="0"/>
      <name val="Arial"/>
      <family val="2"/>
    </font>
    <font>
      <b/>
      <sz val="10"/>
      <color theme="0"/>
      <name val="Arial"/>
      <family val="2"/>
    </font>
    <font>
      <b/>
      <sz val="16"/>
      <color theme="0"/>
      <name val="Calibri"/>
      <family val="2"/>
      <scheme val="minor"/>
    </font>
    <font>
      <b/>
      <sz val="12"/>
      <color theme="3" tint="0.39997558519241921"/>
      <name val="Arial"/>
      <family val="2"/>
    </font>
    <font>
      <b/>
      <sz val="11"/>
      <color theme="0"/>
      <name val="Calibri"/>
      <family val="2"/>
      <scheme val="minor"/>
    </font>
    <font>
      <b/>
      <sz val="14"/>
      <color theme="0"/>
      <name val="Calibri"/>
      <family val="2"/>
      <scheme val="minor"/>
    </font>
    <font>
      <sz val="16"/>
      <color theme="0"/>
      <name val="Calibri"/>
      <family val="2"/>
      <scheme val="minor"/>
    </font>
    <font>
      <b/>
      <sz val="12"/>
      <color theme="0"/>
      <name val="Arial"/>
      <family val="2"/>
    </font>
    <font>
      <b/>
      <sz val="12"/>
      <color indexed="81"/>
      <name val="Tahoma"/>
      <family val="2"/>
    </font>
    <font>
      <sz val="12"/>
      <color indexed="81"/>
      <name val="Tahoma"/>
      <family val="2"/>
    </font>
    <font>
      <b/>
      <sz val="12"/>
      <color theme="0" tint="-4.9989318521683403E-2"/>
      <name val="Arial"/>
      <family val="2"/>
    </font>
    <font>
      <b/>
      <sz val="12"/>
      <color theme="0" tint="-4.9989318521683403E-2"/>
      <name val="Calibri"/>
      <family val="2"/>
      <scheme val="minor"/>
    </font>
    <font>
      <sz val="12"/>
      <color theme="0" tint="-4.9989318521683403E-2"/>
      <name val="Calibri"/>
      <family val="2"/>
      <scheme val="minor"/>
    </font>
    <font>
      <sz val="11"/>
      <color theme="0" tint="-4.9989318521683403E-2"/>
      <name val="Calibri"/>
      <family val="2"/>
      <scheme val="minor"/>
    </font>
    <font>
      <u/>
      <sz val="12"/>
      <color theme="0" tint="-4.9989318521683403E-2"/>
      <name val="Calibri"/>
      <family val="2"/>
      <scheme val="minor"/>
    </font>
    <font>
      <sz val="10"/>
      <name val="Arial"/>
    </font>
  </fonts>
  <fills count="14">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bgColor indexed="64"/>
      </patternFill>
    </fill>
    <fill>
      <patternFill patternType="solid">
        <fgColor theme="3" tint="-0.499984740745262"/>
        <bgColor indexed="64"/>
      </patternFill>
    </fill>
    <fill>
      <patternFill patternType="solid">
        <fgColor theme="2" tint="-9.9978637043366805E-2"/>
        <bgColor indexed="64"/>
      </patternFill>
    </fill>
    <fill>
      <patternFill patternType="solid">
        <fgColor rgb="FF63776D"/>
        <bgColor indexed="64"/>
      </patternFill>
    </fill>
    <fill>
      <patternFill patternType="solid">
        <fgColor rgb="FF465A53"/>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9" fontId="27" fillId="0" borderId="0" applyFont="0" applyFill="0" applyBorder="0" applyAlignment="0" applyProtection="0"/>
    <xf numFmtId="0" fontId="46" fillId="0" borderId="0"/>
    <xf numFmtId="9" fontId="27" fillId="0" borderId="0" applyFont="0" applyFill="0" applyBorder="0" applyAlignment="0" applyProtection="0"/>
  </cellStyleXfs>
  <cellXfs count="250">
    <xf numFmtId="0" fontId="0" fillId="0" borderId="0" xfId="0"/>
    <xf numFmtId="0" fontId="8" fillId="0" borderId="0" xfId="0" applyFont="1"/>
    <xf numFmtId="0" fontId="8" fillId="0" borderId="1" xfId="0" applyFont="1" applyBorder="1" applyAlignment="1">
      <alignment horizontal="center"/>
    </xf>
    <xf numFmtId="0" fontId="8" fillId="0" borderId="0" xfId="0" applyFont="1" applyFill="1" applyBorder="1"/>
    <xf numFmtId="0" fontId="8" fillId="0" borderId="1" xfId="0" applyFont="1" applyBorder="1"/>
    <xf numFmtId="0" fontId="8" fillId="0" borderId="0" xfId="0" applyFont="1" applyBorder="1" applyAlignment="1">
      <alignment horizontal="center"/>
    </xf>
    <xf numFmtId="0" fontId="8" fillId="0" borderId="0" xfId="0" applyFont="1" applyBorder="1"/>
    <xf numFmtId="0" fontId="8" fillId="0" borderId="2" xfId="0" applyFont="1" applyBorder="1" applyAlignment="1">
      <alignment horizontal="center"/>
    </xf>
    <xf numFmtId="0" fontId="8" fillId="0" borderId="3" xfId="0" applyFont="1" applyBorder="1"/>
    <xf numFmtId="1" fontId="8" fillId="0" borderId="3" xfId="0" applyNumberFormat="1" applyFont="1" applyBorder="1" applyAlignment="1">
      <alignment horizontal="center"/>
    </xf>
    <xf numFmtId="0" fontId="8" fillId="0" borderId="5" xfId="0" applyFont="1" applyBorder="1" applyAlignment="1">
      <alignment horizontal="center"/>
    </xf>
    <xf numFmtId="1" fontId="8" fillId="0" borderId="0" xfId="0" applyNumberFormat="1" applyFont="1" applyBorder="1" applyAlignment="1">
      <alignment horizontal="center"/>
    </xf>
    <xf numFmtId="0" fontId="8" fillId="0" borderId="7" xfId="0" applyFont="1" applyBorder="1" applyAlignment="1">
      <alignment horizontal="center"/>
    </xf>
    <xf numFmtId="0" fontId="8" fillId="0" borderId="8" xfId="0" applyFont="1" applyBorder="1"/>
    <xf numFmtId="1" fontId="8" fillId="0" borderId="8" xfId="0" applyNumberFormat="1" applyFont="1" applyBorder="1" applyAlignment="1">
      <alignment horizontal="center"/>
    </xf>
    <xf numFmtId="0" fontId="8" fillId="0" borderId="6" xfId="0" applyFont="1" applyBorder="1"/>
    <xf numFmtId="0" fontId="8" fillId="0" borderId="0" xfId="0" applyFont="1" applyAlignment="1">
      <alignment horizontal="center"/>
    </xf>
    <xf numFmtId="0" fontId="12" fillId="0" borderId="0" xfId="0" applyFont="1"/>
    <xf numFmtId="0" fontId="8" fillId="0" borderId="1" xfId="0" applyFont="1" applyBorder="1" applyAlignment="1">
      <alignment horizontal="left" indent="1"/>
    </xf>
    <xf numFmtId="0" fontId="9" fillId="0" borderId="1" xfId="0" applyFont="1" applyFill="1" applyBorder="1" applyAlignment="1">
      <alignment horizontal="center"/>
    </xf>
    <xf numFmtId="164" fontId="8" fillId="0" borderId="1" xfId="0" applyNumberFormat="1" applyFont="1" applyBorder="1" applyAlignment="1">
      <alignment horizontal="center"/>
    </xf>
    <xf numFmtId="0" fontId="13" fillId="0" borderId="1" xfId="0" applyFont="1" applyBorder="1"/>
    <xf numFmtId="0" fontId="8" fillId="0" borderId="0" xfId="0" applyFont="1" applyFill="1" applyBorder="1" applyAlignment="1"/>
    <xf numFmtId="0" fontId="10" fillId="0" borderId="0" xfId="0" applyFont="1" applyFill="1" applyBorder="1" applyAlignment="1">
      <alignment horizontal="left"/>
    </xf>
    <xf numFmtId="0" fontId="11" fillId="0" borderId="0" xfId="0" applyFont="1" applyFill="1" applyBorder="1" applyAlignment="1">
      <alignment horizontal="center" vertical="center" wrapText="1"/>
    </xf>
    <xf numFmtId="0" fontId="10" fillId="2" borderId="0" xfId="0" applyFont="1" applyFill="1" applyAlignment="1">
      <alignment horizontal="center"/>
    </xf>
    <xf numFmtId="0" fontId="8" fillId="2" borderId="0" xfId="0" applyFont="1" applyFill="1" applyBorder="1" applyAlignment="1">
      <alignment horizontal="center"/>
    </xf>
    <xf numFmtId="0" fontId="8" fillId="2" borderId="6" xfId="0" applyFont="1" applyFill="1" applyBorder="1" applyAlignment="1">
      <alignment horizontal="center"/>
    </xf>
    <xf numFmtId="0" fontId="8" fillId="2" borderId="1" xfId="0" applyFont="1" applyFill="1" applyBorder="1" applyAlignment="1">
      <alignment wrapText="1"/>
    </xf>
    <xf numFmtId="0" fontId="8" fillId="2" borderId="1" xfId="0" applyFont="1" applyFill="1" applyBorder="1" applyAlignment="1">
      <alignment horizontal="center"/>
    </xf>
    <xf numFmtId="0" fontId="22" fillId="3" borderId="0" xfId="0" applyFont="1" applyFill="1" applyBorder="1" applyAlignment="1">
      <alignment horizontal="center"/>
    </xf>
    <xf numFmtId="0" fontId="22" fillId="3" borderId="0" xfId="0" applyFont="1" applyFill="1" applyBorder="1" applyAlignment="1">
      <alignment horizontal="left"/>
    </xf>
    <xf numFmtId="0" fontId="8" fillId="2" borderId="15" xfId="0" applyFont="1" applyFill="1" applyBorder="1"/>
    <xf numFmtId="0" fontId="8" fillId="2" borderId="1" xfId="0" applyFont="1" applyFill="1" applyBorder="1"/>
    <xf numFmtId="0" fontId="8" fillId="2" borderId="16" xfId="0" applyFont="1" applyFill="1" applyBorder="1"/>
    <xf numFmtId="0" fontId="8" fillId="2" borderId="17" xfId="0" applyFont="1" applyFill="1" applyBorder="1"/>
    <xf numFmtId="0" fontId="8" fillId="2" borderId="18" xfId="0" applyFont="1" applyFill="1" applyBorder="1" applyAlignment="1">
      <alignment horizontal="center"/>
    </xf>
    <xf numFmtId="0" fontId="8" fillId="2" borderId="19" xfId="0" applyFont="1" applyFill="1" applyBorder="1" applyAlignment="1">
      <alignment horizontal="center"/>
    </xf>
    <xf numFmtId="0" fontId="8" fillId="2" borderId="20" xfId="0" applyFont="1" applyFill="1" applyBorder="1" applyAlignment="1">
      <alignment horizontal="center"/>
    </xf>
    <xf numFmtId="0" fontId="8" fillId="2" borderId="21" xfId="0" applyFont="1" applyFill="1" applyBorder="1"/>
    <xf numFmtId="0" fontId="8" fillId="2" borderId="22" xfId="0" applyFont="1" applyFill="1" applyBorder="1" applyAlignment="1">
      <alignment horizontal="center"/>
    </xf>
    <xf numFmtId="0" fontId="8" fillId="2" borderId="23" xfId="0" applyFont="1" applyFill="1" applyBorder="1" applyAlignment="1">
      <alignment horizontal="center"/>
    </xf>
    <xf numFmtId="0" fontId="8" fillId="2" borderId="24" xfId="0" applyFont="1" applyFill="1" applyBorder="1"/>
    <xf numFmtId="0" fontId="8" fillId="0" borderId="13" xfId="0" applyFont="1" applyBorder="1"/>
    <xf numFmtId="0" fontId="8" fillId="2" borderId="25" xfId="0" applyFont="1" applyFill="1" applyBorder="1"/>
    <xf numFmtId="0" fontId="22" fillId="3" borderId="0" xfId="0" applyFont="1" applyFill="1" applyBorder="1" applyAlignment="1">
      <alignment horizontal="center" wrapText="1"/>
    </xf>
    <xf numFmtId="0" fontId="8" fillId="2" borderId="26" xfId="0" applyFont="1" applyFill="1" applyBorder="1"/>
    <xf numFmtId="0" fontId="8" fillId="2" borderId="27" xfId="0" applyFont="1" applyFill="1" applyBorder="1"/>
    <xf numFmtId="0" fontId="8" fillId="2" borderId="28" xfId="0" applyFont="1" applyFill="1" applyBorder="1"/>
    <xf numFmtId="0" fontId="8" fillId="2" borderId="29" xfId="0" applyFont="1" applyFill="1" applyBorder="1" applyAlignment="1">
      <alignment horizontal="center"/>
    </xf>
    <xf numFmtId="4" fontId="9" fillId="2" borderId="1" xfId="0" applyNumberFormat="1" applyFont="1" applyFill="1" applyBorder="1" applyAlignment="1">
      <alignment horizontal="right"/>
    </xf>
    <xf numFmtId="0" fontId="21" fillId="3" borderId="9" xfId="0" applyFont="1" applyFill="1" applyBorder="1" applyAlignment="1">
      <alignment horizontal="center"/>
    </xf>
    <xf numFmtId="0" fontId="17" fillId="3" borderId="12" xfId="0" applyFont="1" applyFill="1" applyBorder="1" applyAlignment="1">
      <alignment horizontal="right"/>
    </xf>
    <xf numFmtId="0" fontId="7" fillId="5" borderId="2" xfId="0" applyFont="1" applyFill="1" applyBorder="1" applyAlignment="1">
      <alignment horizontal="center"/>
    </xf>
    <xf numFmtId="0" fontId="7" fillId="5" borderId="11" xfId="0" applyFont="1" applyFill="1" applyBorder="1" applyAlignment="1">
      <alignment horizontal="left"/>
    </xf>
    <xf numFmtId="0" fontId="25" fillId="2" borderId="5" xfId="0" applyFont="1" applyFill="1" applyBorder="1" applyAlignment="1">
      <alignment horizontal="center"/>
    </xf>
    <xf numFmtId="0" fontId="25" fillId="2" borderId="14" xfId="0" applyFont="1" applyFill="1" applyBorder="1"/>
    <xf numFmtId="3" fontId="25" fillId="2" borderId="5" xfId="0" applyNumberFormat="1" applyFont="1" applyFill="1" applyBorder="1" applyAlignment="1">
      <alignment horizontal="center"/>
    </xf>
    <xf numFmtId="2" fontId="25" fillId="2" borderId="5" xfId="0" applyNumberFormat="1" applyFont="1" applyFill="1" applyBorder="1" applyAlignment="1">
      <alignment horizontal="center"/>
    </xf>
    <xf numFmtId="1" fontId="25" fillId="2" borderId="5" xfId="0" applyNumberFormat="1" applyFont="1" applyFill="1" applyBorder="1" applyAlignment="1">
      <alignment horizontal="center"/>
    </xf>
    <xf numFmtId="0" fontId="29" fillId="0" borderId="0" xfId="0" applyFont="1" applyFill="1" applyBorder="1" applyAlignment="1">
      <alignment horizontal="left"/>
    </xf>
    <xf numFmtId="0" fontId="25" fillId="2" borderId="5" xfId="0" applyNumberFormat="1" applyFont="1" applyFill="1" applyBorder="1" applyAlignment="1">
      <alignment horizontal="center"/>
    </xf>
    <xf numFmtId="0" fontId="30" fillId="0" borderId="0" xfId="0" applyFont="1"/>
    <xf numFmtId="0" fontId="7" fillId="2" borderId="5" xfId="0" applyFont="1" applyFill="1" applyBorder="1" applyAlignment="1">
      <alignment horizontal="center"/>
    </xf>
    <xf numFmtId="0" fontId="8" fillId="2" borderId="0" xfId="0" applyFont="1" applyFill="1" applyAlignment="1">
      <alignment horizontal="right"/>
    </xf>
    <xf numFmtId="0" fontId="25" fillId="2" borderId="14" xfId="0" applyNumberFormat="1" applyFont="1" applyFill="1" applyBorder="1" applyAlignment="1">
      <alignment horizontal="center"/>
    </xf>
    <xf numFmtId="0" fontId="7" fillId="7" borderId="14" xfId="0" applyFont="1" applyFill="1" applyBorder="1"/>
    <xf numFmtId="0" fontId="7" fillId="8" borderId="14" xfId="0" applyFont="1" applyFill="1" applyBorder="1"/>
    <xf numFmtId="3" fontId="25" fillId="8" borderId="5" xfId="0" applyNumberFormat="1" applyFont="1" applyFill="1" applyBorder="1" applyAlignment="1">
      <alignment horizontal="center"/>
    </xf>
    <xf numFmtId="0" fontId="25" fillId="8" borderId="5" xfId="0" applyFont="1" applyFill="1" applyBorder="1" applyAlignment="1">
      <alignment horizontal="center"/>
    </xf>
    <xf numFmtId="164" fontId="26" fillId="8" borderId="5" xfId="0" applyNumberFormat="1" applyFont="1" applyFill="1" applyBorder="1" applyAlignment="1">
      <alignment horizontal="center"/>
    </xf>
    <xf numFmtId="2" fontId="25" fillId="8" borderId="5" xfId="0" applyNumberFormat="1" applyFont="1" applyFill="1" applyBorder="1" applyAlignment="1">
      <alignment horizontal="center"/>
    </xf>
    <xf numFmtId="0" fontId="8" fillId="0" borderId="14" xfId="0" applyFont="1" applyBorder="1"/>
    <xf numFmtId="0" fontId="0" fillId="0" borderId="31" xfId="0" applyBorder="1"/>
    <xf numFmtId="0" fontId="30" fillId="0" borderId="19" xfId="0" applyFont="1" applyBorder="1"/>
    <xf numFmtId="0" fontId="30" fillId="0" borderId="31" xfId="0" applyFont="1" applyBorder="1"/>
    <xf numFmtId="0" fontId="32" fillId="3" borderId="30" xfId="0" applyFont="1" applyFill="1" applyBorder="1"/>
    <xf numFmtId="0" fontId="8" fillId="9" borderId="14" xfId="0" applyFont="1" applyFill="1" applyBorder="1" applyAlignment="1">
      <alignment horizontal="center"/>
    </xf>
    <xf numFmtId="0" fontId="8" fillId="8" borderId="5" xfId="0" applyFont="1" applyFill="1" applyBorder="1" applyAlignment="1">
      <alignment horizontal="center"/>
    </xf>
    <xf numFmtId="0" fontId="25" fillId="7" borderId="5" xfId="0" applyFont="1" applyFill="1" applyBorder="1" applyAlignment="1">
      <alignment horizontal="center"/>
    </xf>
    <xf numFmtId="0" fontId="8" fillId="7" borderId="5" xfId="0" applyFont="1" applyFill="1" applyBorder="1" applyAlignment="1">
      <alignment horizontal="center"/>
    </xf>
    <xf numFmtId="164" fontId="26" fillId="7" borderId="5" xfId="0" applyNumberFormat="1" applyFont="1" applyFill="1" applyBorder="1" applyAlignment="1">
      <alignment horizontal="center"/>
    </xf>
    <xf numFmtId="2" fontId="25" fillId="8" borderId="0" xfId="0" applyNumberFormat="1" applyFont="1" applyFill="1" applyBorder="1" applyAlignment="1">
      <alignment horizontal="center"/>
    </xf>
    <xf numFmtId="165" fontId="33" fillId="6" borderId="0" xfId="0" applyNumberFormat="1" applyFont="1" applyFill="1" applyAlignment="1">
      <alignment vertical="center"/>
    </xf>
    <xf numFmtId="165" fontId="0" fillId="0" borderId="33" xfId="0" applyNumberFormat="1" applyBorder="1"/>
    <xf numFmtId="165" fontId="0" fillId="0" borderId="27" xfId="0" applyNumberFormat="1" applyBorder="1"/>
    <xf numFmtId="165" fontId="32" fillId="3" borderId="31" xfId="0" applyNumberFormat="1" applyFont="1" applyFill="1" applyBorder="1"/>
    <xf numFmtId="165" fontId="0" fillId="0" borderId="31" xfId="0" applyNumberFormat="1" applyBorder="1"/>
    <xf numFmtId="0" fontId="8" fillId="5" borderId="2" xfId="0" applyFont="1" applyFill="1" applyBorder="1"/>
    <xf numFmtId="0" fontId="8" fillId="5" borderId="3" xfId="0" applyFont="1" applyFill="1" applyBorder="1"/>
    <xf numFmtId="0" fontId="8" fillId="0" borderId="5" xfId="0" applyFont="1" applyBorder="1"/>
    <xf numFmtId="165" fontId="8" fillId="0" borderId="0" xfId="0" applyNumberFormat="1" applyFont="1" applyBorder="1"/>
    <xf numFmtId="0" fontId="8" fillId="8" borderId="14" xfId="0" applyFont="1" applyFill="1" applyBorder="1" applyAlignment="1">
      <alignment horizontal="center"/>
    </xf>
    <xf numFmtId="165" fontId="37" fillId="10" borderId="0" xfId="0" applyNumberFormat="1" applyFont="1" applyFill="1"/>
    <xf numFmtId="0" fontId="9" fillId="0" borderId="0" xfId="0" applyFont="1"/>
    <xf numFmtId="0" fontId="1" fillId="2" borderId="3" xfId="0" applyFont="1" applyFill="1" applyBorder="1"/>
    <xf numFmtId="0" fontId="38" fillId="10" borderId="0" xfId="0" applyFont="1" applyFill="1"/>
    <xf numFmtId="165" fontId="33" fillId="10" borderId="0" xfId="0" applyNumberFormat="1" applyFont="1" applyFill="1"/>
    <xf numFmtId="2" fontId="8" fillId="0" borderId="0" xfId="0" applyNumberFormat="1" applyFont="1" applyBorder="1" applyAlignment="1">
      <alignment horizontal="center"/>
    </xf>
    <xf numFmtId="9" fontId="26" fillId="2" borderId="5" xfId="1" applyFont="1" applyFill="1" applyBorder="1" applyAlignment="1">
      <alignment horizontal="center"/>
    </xf>
    <xf numFmtId="9" fontId="26" fillId="8" borderId="5" xfId="1" applyFont="1" applyFill="1" applyBorder="1" applyAlignment="1">
      <alignment horizontal="center"/>
    </xf>
    <xf numFmtId="9" fontId="25" fillId="2" borderId="5" xfId="1" applyFont="1" applyFill="1" applyBorder="1" applyAlignment="1">
      <alignment horizontal="center"/>
    </xf>
    <xf numFmtId="1" fontId="25" fillId="8" borderId="0" xfId="0" applyNumberFormat="1" applyFont="1" applyFill="1" applyBorder="1" applyAlignment="1">
      <alignment horizontal="center"/>
    </xf>
    <xf numFmtId="49" fontId="9" fillId="7" borderId="0" xfId="0" applyNumberFormat="1" applyFont="1" applyFill="1" applyBorder="1" applyAlignment="1">
      <alignment horizontal="left"/>
    </xf>
    <xf numFmtId="0" fontId="9" fillId="8" borderId="2" xfId="0" applyFont="1" applyFill="1" applyBorder="1" applyAlignment="1">
      <alignment horizontal="right"/>
    </xf>
    <xf numFmtId="1" fontId="9" fillId="7" borderId="4" xfId="0" applyNumberFormat="1" applyFont="1" applyFill="1" applyBorder="1" applyAlignment="1">
      <alignment horizontal="left"/>
    </xf>
    <xf numFmtId="0" fontId="9" fillId="8" borderId="5" xfId="0" applyFont="1" applyFill="1" applyBorder="1" applyAlignment="1">
      <alignment horizontal="right"/>
    </xf>
    <xf numFmtId="49" fontId="9" fillId="7" borderId="6" xfId="0" applyNumberFormat="1" applyFont="1" applyFill="1" applyBorder="1" applyAlignment="1">
      <alignment horizontal="left"/>
    </xf>
    <xf numFmtId="0" fontId="9" fillId="8" borderId="7" xfId="0" applyFont="1" applyFill="1" applyBorder="1" applyAlignment="1">
      <alignment horizontal="right"/>
    </xf>
    <xf numFmtId="49" fontId="9" fillId="7" borderId="13" xfId="0" applyNumberFormat="1" applyFont="1" applyFill="1" applyBorder="1" applyAlignment="1">
      <alignment horizontal="left"/>
    </xf>
    <xf numFmtId="1" fontId="9" fillId="7" borderId="3" xfId="0" applyNumberFormat="1" applyFont="1" applyFill="1" applyBorder="1" applyAlignment="1">
      <alignment horizontal="left"/>
    </xf>
    <xf numFmtId="49" fontId="9" fillId="7" borderId="8" xfId="0" applyNumberFormat="1" applyFont="1" applyFill="1" applyBorder="1" applyAlignment="1">
      <alignment horizontal="left"/>
    </xf>
    <xf numFmtId="0" fontId="8" fillId="2" borderId="14" xfId="0" applyFont="1" applyFill="1" applyBorder="1" applyAlignment="1">
      <alignment horizontal="center"/>
    </xf>
    <xf numFmtId="0" fontId="7" fillId="2" borderId="14" xfId="0" applyFont="1" applyFill="1" applyBorder="1" applyAlignment="1">
      <alignment horizontal="center"/>
    </xf>
    <xf numFmtId="9" fontId="25" fillId="8" borderId="14" xfId="1" applyFont="1" applyFill="1" applyBorder="1" applyAlignment="1">
      <alignment horizontal="center"/>
    </xf>
    <xf numFmtId="0" fontId="21" fillId="3" borderId="1" xfId="0" applyFont="1" applyFill="1" applyBorder="1" applyAlignment="1">
      <alignment horizontal="center"/>
    </xf>
    <xf numFmtId="0" fontId="8" fillId="5" borderId="6" xfId="0" applyFont="1" applyFill="1" applyBorder="1"/>
    <xf numFmtId="165" fontId="8" fillId="0" borderId="6" xfId="0" applyNumberFormat="1" applyFont="1" applyBorder="1"/>
    <xf numFmtId="165" fontId="8" fillId="2" borderId="6" xfId="0" applyNumberFormat="1" applyFont="1" applyFill="1" applyBorder="1"/>
    <xf numFmtId="165" fontId="0" fillId="0" borderId="34" xfId="0" applyNumberFormat="1" applyFill="1" applyBorder="1"/>
    <xf numFmtId="165" fontId="0" fillId="0" borderId="28" xfId="0" applyNumberFormat="1" applyFill="1" applyBorder="1"/>
    <xf numFmtId="0" fontId="30" fillId="0" borderId="33" xfId="0" applyFont="1" applyBorder="1"/>
    <xf numFmtId="0" fontId="27" fillId="0" borderId="34" xfId="0" applyFont="1" applyFill="1" applyBorder="1"/>
    <xf numFmtId="0" fontId="7" fillId="11" borderId="14" xfId="0" applyFont="1" applyFill="1" applyBorder="1"/>
    <xf numFmtId="0" fontId="25" fillId="11" borderId="5" xfId="0" applyFont="1" applyFill="1" applyBorder="1" applyAlignment="1">
      <alignment horizontal="center"/>
    </xf>
    <xf numFmtId="0" fontId="7" fillId="11" borderId="6" xfId="0" applyFont="1" applyFill="1" applyBorder="1"/>
    <xf numFmtId="1" fontId="25" fillId="11" borderId="5" xfId="0" applyNumberFormat="1" applyFont="1" applyFill="1" applyBorder="1" applyAlignment="1">
      <alignment horizontal="center"/>
    </xf>
    <xf numFmtId="0" fontId="25" fillId="11" borderId="5" xfId="0" applyNumberFormat="1" applyFont="1" applyFill="1" applyBorder="1" applyAlignment="1">
      <alignment horizontal="center"/>
    </xf>
    <xf numFmtId="165" fontId="8" fillId="11" borderId="6" xfId="0" applyNumberFormat="1" applyFont="1" applyFill="1" applyBorder="1"/>
    <xf numFmtId="0" fontId="25" fillId="11" borderId="6" xfId="0" applyNumberFormat="1" applyFont="1" applyFill="1" applyBorder="1" applyAlignment="1">
      <alignment horizontal="center"/>
    </xf>
    <xf numFmtId="0" fontId="5" fillId="0" borderId="1" xfId="0" applyFont="1" applyBorder="1"/>
    <xf numFmtId="166" fontId="17" fillId="3" borderId="12" xfId="0" applyNumberFormat="1" applyFont="1" applyFill="1" applyBorder="1" applyAlignment="1">
      <alignment horizontal="right"/>
    </xf>
    <xf numFmtId="9" fontId="25" fillId="11" borderId="14" xfId="1" applyNumberFormat="1" applyFont="1" applyFill="1" applyBorder="1" applyAlignment="1">
      <alignment horizontal="center"/>
    </xf>
    <xf numFmtId="2" fontId="8" fillId="0" borderId="0" xfId="0" applyNumberFormat="1" applyFont="1" applyAlignment="1">
      <alignment horizontal="center"/>
    </xf>
    <xf numFmtId="0" fontId="27" fillId="0" borderId="33" xfId="0" applyFont="1" applyBorder="1"/>
    <xf numFmtId="0" fontId="25" fillId="2" borderId="0" xfId="0" applyFont="1" applyFill="1" applyBorder="1"/>
    <xf numFmtId="0" fontId="8" fillId="0" borderId="0" xfId="0" applyFont="1" applyFill="1" applyAlignment="1">
      <alignment horizontal="center"/>
    </xf>
    <xf numFmtId="0" fontId="42" fillId="12" borderId="15" xfId="0" applyFont="1" applyFill="1" applyBorder="1" applyAlignment="1">
      <alignment horizontal="center"/>
    </xf>
    <xf numFmtId="0" fontId="42" fillId="12" borderId="13" xfId="0" applyFont="1" applyFill="1" applyBorder="1"/>
    <xf numFmtId="0" fontId="43" fillId="12" borderId="15" xfId="0" applyFont="1" applyFill="1" applyBorder="1" applyAlignment="1">
      <alignment horizontal="center"/>
    </xf>
    <xf numFmtId="0" fontId="44" fillId="12" borderId="15" xfId="0" applyFont="1" applyFill="1" applyBorder="1" applyAlignment="1">
      <alignment horizontal="center"/>
    </xf>
    <xf numFmtId="1" fontId="43" fillId="12" borderId="15" xfId="0" applyNumberFormat="1" applyFont="1" applyFill="1" applyBorder="1" applyAlignment="1">
      <alignment horizontal="center"/>
    </xf>
    <xf numFmtId="0" fontId="43" fillId="12" borderId="15" xfId="0" applyNumberFormat="1" applyFont="1" applyFill="1" applyBorder="1" applyAlignment="1">
      <alignment horizontal="center"/>
    </xf>
    <xf numFmtId="9" fontId="43" fillId="12" borderId="7" xfId="1" applyFont="1" applyFill="1" applyBorder="1" applyAlignment="1">
      <alignment horizontal="center"/>
    </xf>
    <xf numFmtId="165" fontId="8" fillId="12" borderId="0" xfId="0" applyNumberFormat="1" applyFont="1" applyFill="1"/>
    <xf numFmtId="0" fontId="42" fillId="12" borderId="5" xfId="0" applyFont="1" applyFill="1" applyBorder="1" applyAlignment="1">
      <alignment horizontal="center"/>
    </xf>
    <xf numFmtId="0" fontId="42" fillId="12" borderId="14" xfId="0" applyFont="1" applyFill="1" applyBorder="1"/>
    <xf numFmtId="0" fontId="43" fillId="12" borderId="5" xfId="0" applyFont="1" applyFill="1" applyBorder="1" applyAlignment="1">
      <alignment horizontal="center"/>
    </xf>
    <xf numFmtId="9" fontId="43" fillId="12" borderId="12" xfId="0" applyNumberFormat="1" applyFont="1" applyFill="1" applyBorder="1" applyAlignment="1">
      <alignment horizontal="center"/>
    </xf>
    <xf numFmtId="2" fontId="43" fillId="12" borderId="0" xfId="0" applyNumberFormat="1" applyFont="1" applyFill="1" applyBorder="1" applyAlignment="1">
      <alignment horizontal="center"/>
    </xf>
    <xf numFmtId="0" fontId="44" fillId="12" borderId="5" xfId="0" applyFont="1" applyFill="1" applyBorder="1" applyAlignment="1">
      <alignment horizontal="center"/>
    </xf>
    <xf numFmtId="9" fontId="45" fillId="12" borderId="5" xfId="1" applyFont="1" applyFill="1" applyBorder="1" applyAlignment="1">
      <alignment horizontal="center"/>
    </xf>
    <xf numFmtId="9" fontId="43" fillId="12" borderId="5" xfId="1" applyFont="1" applyFill="1" applyBorder="1" applyAlignment="1">
      <alignment horizontal="center"/>
    </xf>
    <xf numFmtId="3" fontId="43" fillId="12" borderId="5" xfId="0" applyNumberFormat="1" applyFont="1" applyFill="1" applyBorder="1" applyAlignment="1">
      <alignment horizontal="center"/>
    </xf>
    <xf numFmtId="9" fontId="43" fillId="12" borderId="5" xfId="0" applyNumberFormat="1" applyFont="1" applyFill="1" applyBorder="1" applyAlignment="1">
      <alignment horizontal="center"/>
    </xf>
    <xf numFmtId="1" fontId="43" fillId="12" borderId="0" xfId="0" applyNumberFormat="1" applyFont="1" applyFill="1" applyBorder="1" applyAlignment="1">
      <alignment horizontal="center"/>
    </xf>
    <xf numFmtId="0" fontId="44" fillId="12" borderId="14" xfId="0" applyFont="1" applyFill="1" applyBorder="1" applyAlignment="1">
      <alignment horizontal="center"/>
    </xf>
    <xf numFmtId="164" fontId="45" fillId="12" borderId="5" xfId="0" applyNumberFormat="1" applyFont="1" applyFill="1" applyBorder="1" applyAlignment="1">
      <alignment horizontal="center"/>
    </xf>
    <xf numFmtId="0" fontId="32" fillId="13" borderId="0" xfId="0" applyFont="1" applyFill="1"/>
    <xf numFmtId="0" fontId="35" fillId="13" borderId="0" xfId="0" applyFont="1" applyFill="1"/>
    <xf numFmtId="165" fontId="33" fillId="13" borderId="0" xfId="0" applyNumberFormat="1" applyFont="1" applyFill="1"/>
    <xf numFmtId="0" fontId="36" fillId="12" borderId="0" xfId="0" applyFont="1" applyFill="1"/>
    <xf numFmtId="0" fontId="8" fillId="12" borderId="0" xfId="0" applyFont="1" applyFill="1"/>
    <xf numFmtId="165" fontId="33" fillId="12" borderId="0" xfId="0" applyNumberFormat="1" applyFont="1" applyFill="1"/>
    <xf numFmtId="0" fontId="31" fillId="13" borderId="32" xfId="0" applyFont="1" applyFill="1" applyBorder="1"/>
    <xf numFmtId="0" fontId="31" fillId="13" borderId="26" xfId="0" applyFont="1" applyFill="1" applyBorder="1"/>
    <xf numFmtId="0" fontId="32" fillId="13" borderId="30" xfId="0" applyFont="1" applyFill="1" applyBorder="1"/>
    <xf numFmtId="0" fontId="31" fillId="12" borderId="30" xfId="0" applyFont="1" applyFill="1" applyBorder="1"/>
    <xf numFmtId="0" fontId="35" fillId="12" borderId="1" xfId="0" applyFont="1" applyFill="1" applyBorder="1" applyAlignment="1">
      <alignment horizontal="center"/>
    </xf>
    <xf numFmtId="0" fontId="35" fillId="12" borderId="1" xfId="0" applyFont="1" applyFill="1" applyBorder="1" applyAlignment="1">
      <alignment horizontal="right"/>
    </xf>
    <xf numFmtId="0" fontId="36" fillId="12" borderId="1" xfId="0" applyFont="1" applyFill="1" applyBorder="1" applyAlignment="1">
      <alignment horizontal="right"/>
    </xf>
    <xf numFmtId="3" fontId="36" fillId="12" borderId="1" xfId="0" applyNumberFormat="1" applyFont="1" applyFill="1" applyBorder="1" applyAlignment="1">
      <alignment horizontal="center"/>
    </xf>
    <xf numFmtId="0" fontId="35" fillId="12" borderId="1" xfId="0" applyFont="1" applyFill="1" applyBorder="1" applyAlignment="1">
      <alignment horizontal="left"/>
    </xf>
    <xf numFmtId="0" fontId="20" fillId="13" borderId="5" xfId="0" applyFont="1" applyFill="1" applyBorder="1" applyAlignment="1">
      <alignment horizontal="center"/>
    </xf>
    <xf numFmtId="0" fontId="23" fillId="13" borderId="0" xfId="0" applyFont="1" applyFill="1" applyBorder="1" applyAlignment="1">
      <alignment horizontal="right"/>
    </xf>
    <xf numFmtId="0" fontId="23" fillId="13" borderId="6" xfId="0" applyFont="1" applyFill="1" applyBorder="1" applyAlignment="1">
      <alignment horizontal="right"/>
    </xf>
    <xf numFmtId="0" fontId="9" fillId="12" borderId="11" xfId="0" applyFont="1" applyFill="1" applyBorder="1" applyAlignment="1">
      <alignment horizontal="center" wrapText="1"/>
    </xf>
    <xf numFmtId="0" fontId="9" fillId="12" borderId="11" xfId="0" applyFont="1" applyFill="1" applyBorder="1" applyAlignment="1">
      <alignment horizontal="left"/>
    </xf>
    <xf numFmtId="0" fontId="9" fillId="12" borderId="11" xfId="0" applyFont="1" applyFill="1" applyBorder="1" applyAlignment="1">
      <alignment horizontal="center"/>
    </xf>
    <xf numFmtId="0" fontId="10" fillId="12" borderId="9" xfId="0" applyFont="1" applyFill="1" applyBorder="1" applyAlignment="1">
      <alignment horizontal="right"/>
    </xf>
    <xf numFmtId="0" fontId="10" fillId="12" borderId="12" xfId="0" applyFont="1" applyFill="1" applyBorder="1" applyAlignment="1">
      <alignment horizontal="right"/>
    </xf>
    <xf numFmtId="0" fontId="10" fillId="12" borderId="12" xfId="0" applyFont="1" applyFill="1" applyBorder="1" applyAlignment="1">
      <alignment horizontal="center"/>
    </xf>
    <xf numFmtId="0" fontId="10" fillId="12" borderId="10" xfId="0" applyFont="1" applyFill="1" applyBorder="1" applyAlignment="1">
      <alignment horizontal="right"/>
    </xf>
    <xf numFmtId="0" fontId="15" fillId="3" borderId="3" xfId="0" applyFont="1" applyFill="1" applyBorder="1" applyAlignment="1">
      <alignment horizontal="center"/>
    </xf>
    <xf numFmtId="0" fontId="15" fillId="3" borderId="0" xfId="0" applyFont="1" applyFill="1" applyBorder="1" applyAlignment="1">
      <alignment horizontal="center"/>
    </xf>
    <xf numFmtId="0" fontId="15" fillId="5" borderId="3" xfId="0" applyFont="1" applyFill="1" applyBorder="1" applyAlignment="1">
      <alignment horizontal="center"/>
    </xf>
    <xf numFmtId="0" fontId="15" fillId="5" borderId="0" xfId="0" applyFont="1" applyFill="1" applyBorder="1" applyAlignment="1">
      <alignment horizontal="center"/>
    </xf>
    <xf numFmtId="0" fontId="15" fillId="5" borderId="8" xfId="0" applyFont="1" applyFill="1" applyBorder="1" applyAlignment="1">
      <alignment horizontal="center"/>
    </xf>
    <xf numFmtId="0" fontId="9" fillId="12" borderId="12" xfId="0" applyFont="1" applyFill="1" applyBorder="1" applyAlignment="1">
      <alignment horizontal="right"/>
    </xf>
    <xf numFmtId="0" fontId="10" fillId="3" borderId="1" xfId="0" applyFont="1" applyFill="1" applyBorder="1" applyAlignment="1">
      <alignment horizontal="center" wrapText="1"/>
    </xf>
    <xf numFmtId="0" fontId="10" fillId="3" borderId="1" xfId="0" applyFont="1" applyFill="1" applyBorder="1" applyAlignment="1">
      <alignment horizontal="left" wrapText="1"/>
    </xf>
    <xf numFmtId="0" fontId="18" fillId="12" borderId="0" xfId="0" applyFont="1" applyFill="1"/>
    <xf numFmtId="0" fontId="19" fillId="12" borderId="0" xfId="0" applyFont="1" applyFill="1"/>
    <xf numFmtId="0" fontId="18" fillId="13" borderId="0" xfId="0" applyFont="1" applyFill="1"/>
    <xf numFmtId="0" fontId="19" fillId="13" borderId="0" xfId="0" applyFont="1" applyFill="1"/>
    <xf numFmtId="0" fontId="18" fillId="12" borderId="0" xfId="0" applyFont="1" applyFill="1" applyAlignment="1">
      <alignment vertical="center"/>
    </xf>
    <xf numFmtId="0" fontId="25" fillId="2" borderId="14" xfId="2" applyFont="1" applyFill="1" applyBorder="1"/>
    <xf numFmtId="0" fontId="8" fillId="9" borderId="5" xfId="0" applyFont="1" applyFill="1" applyBorder="1" applyAlignment="1">
      <alignment horizontal="center"/>
    </xf>
    <xf numFmtId="0" fontId="25" fillId="0" borderId="14" xfId="2" applyFont="1" applyBorder="1"/>
    <xf numFmtId="0" fontId="8" fillId="0" borderId="14" xfId="0" applyFont="1" applyBorder="1" applyAlignment="1">
      <alignment horizontal="center"/>
    </xf>
    <xf numFmtId="0" fontId="8" fillId="9" borderId="0" xfId="0" applyFont="1" applyFill="1" applyBorder="1" applyAlignment="1">
      <alignment horizontal="center"/>
    </xf>
    <xf numFmtId="1" fontId="8" fillId="7" borderId="5" xfId="0" applyNumberFormat="1" applyFont="1" applyFill="1" applyBorder="1" applyAlignment="1">
      <alignment horizontal="center"/>
    </xf>
    <xf numFmtId="0" fontId="25" fillId="7" borderId="5" xfId="0" applyNumberFormat="1" applyFont="1" applyFill="1" applyBorder="1" applyAlignment="1">
      <alignment horizontal="center"/>
    </xf>
    <xf numFmtId="165" fontId="27" fillId="12" borderId="6" xfId="0" applyNumberFormat="1" applyFont="1" applyFill="1" applyBorder="1"/>
    <xf numFmtId="165" fontId="27" fillId="7" borderId="6" xfId="0" applyNumberFormat="1" applyFont="1" applyFill="1" applyBorder="1"/>
    <xf numFmtId="165" fontId="27" fillId="8" borderId="6" xfId="0" applyNumberFormat="1" applyFont="1" applyFill="1" applyBorder="1"/>
    <xf numFmtId="0" fontId="8" fillId="0" borderId="0" xfId="2" applyFont="1"/>
    <xf numFmtId="0" fontId="7" fillId="2" borderId="5" xfId="2" applyFont="1" applyFill="1" applyBorder="1" applyAlignment="1">
      <alignment horizontal="center"/>
    </xf>
    <xf numFmtId="2" fontId="25" fillId="2" borderId="5" xfId="2" applyNumberFormat="1" applyFont="1" applyFill="1" applyBorder="1" applyAlignment="1">
      <alignment horizontal="center"/>
    </xf>
    <xf numFmtId="1" fontId="25" fillId="2" borderId="5" xfId="2" applyNumberFormat="1" applyFont="1" applyFill="1" applyBorder="1" applyAlignment="1">
      <alignment horizontal="center"/>
    </xf>
    <xf numFmtId="0" fontId="25" fillId="2" borderId="5" xfId="3" applyNumberFormat="1" applyFont="1" applyFill="1" applyBorder="1" applyAlignment="1">
      <alignment horizontal="center"/>
    </xf>
    <xf numFmtId="9" fontId="25" fillId="3" borderId="14" xfId="3" applyFont="1" applyFill="1" applyBorder="1" applyAlignment="1">
      <alignment horizontal="center"/>
    </xf>
    <xf numFmtId="0" fontId="27" fillId="0" borderId="0" xfId="0" applyFont="1"/>
    <xf numFmtId="0" fontId="20" fillId="12" borderId="1" xfId="0" applyNumberFormat="1" applyFont="1" applyFill="1" applyBorder="1" applyAlignment="1">
      <alignment horizontal="center" vertical="center"/>
    </xf>
    <xf numFmtId="0" fontId="18" fillId="13" borderId="0" xfId="0" applyFont="1" applyFill="1" applyAlignment="1">
      <alignment horizontal="center" vertical="center"/>
    </xf>
    <xf numFmtId="0" fontId="18" fillId="13" borderId="0" xfId="0" applyFont="1" applyFill="1" applyAlignment="1">
      <alignment horizontal="center"/>
    </xf>
    <xf numFmtId="0" fontId="20" fillId="12" borderId="9" xfId="0" applyNumberFormat="1" applyFont="1" applyFill="1" applyBorder="1" applyAlignment="1">
      <alignment horizontal="center" vertical="center"/>
    </xf>
    <xf numFmtId="0" fontId="20" fillId="12" borderId="10" xfId="0" applyNumberFormat="1" applyFont="1" applyFill="1" applyBorder="1" applyAlignment="1">
      <alignment horizontal="center" vertical="center"/>
    </xf>
    <xf numFmtId="164" fontId="8" fillId="0" borderId="0" xfId="0" applyNumberFormat="1" applyFont="1" applyBorder="1" applyAlignment="1">
      <alignment horizontal="left" wrapText="1"/>
    </xf>
    <xf numFmtId="164" fontId="8" fillId="0" borderId="6" xfId="0" applyNumberFormat="1" applyFont="1" applyBorder="1" applyAlignment="1">
      <alignment horizontal="left" wrapText="1"/>
    </xf>
    <xf numFmtId="0" fontId="10" fillId="3" borderId="2" xfId="0" applyFont="1" applyFill="1" applyBorder="1" applyAlignment="1">
      <alignment horizontal="center"/>
    </xf>
    <xf numFmtId="0" fontId="10" fillId="3" borderId="4" xfId="0" applyFont="1" applyFill="1" applyBorder="1" applyAlignment="1">
      <alignment horizontal="center"/>
    </xf>
    <xf numFmtId="0" fontId="9" fillId="3" borderId="9" xfId="0" applyFont="1" applyFill="1" applyBorder="1" applyAlignment="1">
      <alignment horizontal="left" vertical="center" wrapText="1"/>
    </xf>
    <xf numFmtId="0" fontId="9" fillId="3" borderId="10" xfId="0" applyFont="1" applyFill="1" applyBorder="1" applyAlignment="1">
      <alignment horizontal="left" vertical="center" wrapText="1"/>
    </xf>
    <xf numFmtId="0" fontId="10" fillId="3" borderId="5" xfId="0" applyFont="1" applyFill="1" applyBorder="1" applyAlignment="1">
      <alignment horizontal="center"/>
    </xf>
    <xf numFmtId="0" fontId="10" fillId="3" borderId="0" xfId="0" applyFont="1" applyFill="1" applyBorder="1" applyAlignment="1">
      <alignment horizontal="center"/>
    </xf>
    <xf numFmtId="0" fontId="9" fillId="3" borderId="12" xfId="0" applyFont="1" applyFill="1" applyBorder="1" applyAlignment="1">
      <alignment horizontal="left" vertical="center" wrapText="1"/>
    </xf>
    <xf numFmtId="164" fontId="8" fillId="0" borderId="3" xfId="0" applyNumberFormat="1" applyFont="1" applyBorder="1" applyAlignment="1">
      <alignment horizontal="left" wrapText="1"/>
    </xf>
    <xf numFmtId="164" fontId="8" fillId="0" borderId="4" xfId="0" applyNumberFormat="1" applyFont="1" applyBorder="1" applyAlignment="1">
      <alignment horizontal="left" wrapText="1"/>
    </xf>
    <xf numFmtId="0" fontId="24" fillId="13" borderId="2" xfId="0" applyFont="1" applyFill="1" applyBorder="1" applyAlignment="1">
      <alignment horizontal="center"/>
    </xf>
    <xf numFmtId="0" fontId="24" fillId="13" borderId="3" xfId="0" applyFont="1" applyFill="1" applyBorder="1" applyAlignment="1">
      <alignment horizontal="center"/>
    </xf>
    <xf numFmtId="0" fontId="24" fillId="13" borderId="4" xfId="0" applyFont="1" applyFill="1" applyBorder="1" applyAlignment="1">
      <alignment horizontal="center"/>
    </xf>
    <xf numFmtId="0" fontId="9" fillId="12" borderId="9" xfId="0" applyFont="1" applyFill="1" applyBorder="1" applyAlignment="1">
      <alignment horizontal="center"/>
    </xf>
    <xf numFmtId="0" fontId="9" fillId="12" borderId="10" xfId="0" applyFont="1" applyFill="1" applyBorder="1" applyAlignment="1">
      <alignment horizontal="center"/>
    </xf>
    <xf numFmtId="0" fontId="6" fillId="0" borderId="0" xfId="0" applyFont="1" applyFill="1" applyBorder="1" applyAlignment="1">
      <alignment horizontal="left" vertical="center" wrapText="1"/>
    </xf>
    <xf numFmtId="0" fontId="8" fillId="0" borderId="0" xfId="0" applyFont="1" applyAlignment="1">
      <alignment horizontal="left" vertical="center"/>
    </xf>
    <xf numFmtId="0" fontId="16" fillId="13" borderId="1" xfId="0" applyFont="1" applyFill="1" applyBorder="1" applyAlignment="1">
      <alignment horizontal="center"/>
    </xf>
    <xf numFmtId="0" fontId="41" fillId="12" borderId="5" xfId="0" applyFont="1" applyFill="1" applyBorder="1" applyAlignment="1">
      <alignment horizontal="center" vertical="center"/>
    </xf>
    <xf numFmtId="0" fontId="41" fillId="12" borderId="0" xfId="0" applyFont="1" applyFill="1" applyBorder="1" applyAlignment="1">
      <alignment horizontal="center" vertical="center"/>
    </xf>
    <xf numFmtId="0" fontId="33" fillId="6" borderId="0" xfId="0" applyFont="1" applyFill="1" applyAlignment="1">
      <alignment horizontal="center" vertical="center" wrapText="1"/>
    </xf>
    <xf numFmtId="0" fontId="14" fillId="2" borderId="0" xfId="0" applyFont="1" applyFill="1" applyAlignment="1">
      <alignment horizontal="right"/>
    </xf>
    <xf numFmtId="0" fontId="16" fillId="4" borderId="5" xfId="0" applyFont="1" applyFill="1" applyBorder="1" applyAlignment="1">
      <alignment horizontal="center"/>
    </xf>
    <xf numFmtId="0" fontId="16" fillId="4" borderId="0" xfId="0" applyFont="1" applyFill="1" applyBorder="1" applyAlignment="1">
      <alignment horizontal="center"/>
    </xf>
    <xf numFmtId="0" fontId="16" fillId="4" borderId="6" xfId="0" applyFont="1" applyFill="1" applyBorder="1" applyAlignment="1">
      <alignment horizontal="center"/>
    </xf>
    <xf numFmtId="0" fontId="41" fillId="12" borderId="5" xfId="0" applyFont="1" applyFill="1" applyBorder="1" applyAlignment="1">
      <alignment horizontal="center" vertical="center" wrapText="1"/>
    </xf>
    <xf numFmtId="0" fontId="41" fillId="12" borderId="0" xfId="0" applyFont="1" applyFill="1" applyBorder="1" applyAlignment="1">
      <alignment horizontal="center" vertical="center" wrapText="1"/>
    </xf>
    <xf numFmtId="0" fontId="34" fillId="7" borderId="5" xfId="0" applyFont="1" applyFill="1" applyBorder="1" applyAlignment="1">
      <alignment horizontal="center" vertical="center"/>
    </xf>
    <xf numFmtId="0" fontId="34" fillId="7" borderId="0" xfId="0" applyFont="1" applyFill="1" applyBorder="1" applyAlignment="1">
      <alignment horizontal="center" vertical="center"/>
    </xf>
    <xf numFmtId="0" fontId="34" fillId="8" borderId="5" xfId="0" applyFont="1" applyFill="1" applyBorder="1" applyAlignment="1">
      <alignment horizontal="center" vertical="center"/>
    </xf>
    <xf numFmtId="0" fontId="34" fillId="8" borderId="0" xfId="0" applyFont="1" applyFill="1" applyBorder="1" applyAlignment="1">
      <alignment horizontal="center" vertical="center"/>
    </xf>
  </cellXfs>
  <cellStyles count="4">
    <cellStyle name="Normal" xfId="0" builtinId="0"/>
    <cellStyle name="Normal 2" xfId="2"/>
    <cellStyle name="Porcentaje" xfId="1" builtinId="5"/>
    <cellStyle name="Porcentaje 2" xfId="3"/>
  </cellStyles>
  <dxfs count="12">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right style="medium">
          <color indexed="64"/>
        </right>
        <top/>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style="medium">
          <color indexed="64"/>
        </left>
        <right style="thin">
          <color indexed="64"/>
        </right>
        <top/>
        <bottom/>
      </border>
    </dxf>
    <dxf>
      <fill>
        <patternFill patternType="solid">
          <fgColor indexed="64"/>
          <bgColor theme="0"/>
        </patternFill>
      </fill>
    </dxf>
    <dxf>
      <font>
        <strike val="0"/>
        <outline val="0"/>
        <shadow val="0"/>
        <u val="none"/>
        <vertAlign val="baseline"/>
        <sz val="18"/>
        <color auto="1"/>
        <name val="Calibri"/>
        <scheme val="minor"/>
      </font>
      <fill>
        <patternFill patternType="solid">
          <fgColor indexed="64"/>
          <bgColor theme="0" tint="-0.34998626667073579"/>
        </patternFill>
      </fill>
    </dxf>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right style="medium">
          <color indexed="64"/>
        </right>
        <top style="thin">
          <color auto="1"/>
        </top>
        <bottom style="thin">
          <color auto="1"/>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style="medium">
          <color indexed="64"/>
        </left>
        <right/>
        <top style="thin">
          <color auto="1"/>
        </top>
        <bottom style="thin">
          <color auto="1"/>
        </bottom>
      </border>
    </dxf>
    <dxf>
      <fill>
        <patternFill patternType="solid">
          <fgColor indexed="64"/>
          <bgColor theme="0"/>
        </patternFill>
      </fill>
    </dxf>
    <dxf>
      <font>
        <strike val="0"/>
        <outline val="0"/>
        <shadow val="0"/>
        <u val="none"/>
        <vertAlign val="baseline"/>
        <sz val="18"/>
        <color auto="1"/>
        <name val="Calibri"/>
        <scheme val="minor"/>
      </font>
      <fill>
        <patternFill patternType="solid">
          <fgColor indexed="64"/>
          <bgColor theme="0" tint="-0.34998626667073579"/>
        </patternFill>
      </fill>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general" vertical="bottom" textRotation="0" wrapText="1" relative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right style="thin">
          <color indexed="64"/>
        </right>
        <top/>
        <bottom/>
      </border>
    </dxf>
    <dxf>
      <fill>
        <patternFill patternType="solid">
          <fgColor indexed="64"/>
          <bgColor theme="0"/>
        </patternFill>
      </fill>
    </dxf>
    <dxf>
      <font>
        <b/>
        <i val="0"/>
        <strike val="0"/>
        <condense val="0"/>
        <extend val="0"/>
        <outline val="0"/>
        <shadow val="0"/>
        <u val="none"/>
        <vertAlign val="baseline"/>
        <sz val="18"/>
        <color auto="1"/>
        <name val="Calibri"/>
        <scheme val="minor"/>
      </font>
      <fill>
        <patternFill patternType="solid">
          <fgColor indexed="64"/>
          <bgColor theme="0" tint="-0.34998626667073579"/>
        </patternFill>
      </fill>
      <alignment horizontal="center" vertical="bottom" textRotation="0" wrapText="0" relative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colors>
    <mruColors>
      <color rgb="FF63776D"/>
      <color rgb="FF465A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qualtop01:88/SCAMPI%20Imagen/M&#233;tricasDeProyecto_CH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qualtop01:88/Project%20Documents/04%20-%20Ejemplos/CMMI/Core/PP/FormatoEjemplo-M&#233;tricasDeProyect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qualtop01:88/Users/Cecilia/Documents/Material/Innevo/Cmmi3Innevo/Planificaci&#243;n%20de%20Proyectos/Est&#225;ndares/ProjectServiceProposal-v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qualtop01:88/Documents%20and%20Settings/agutierrez/Mis%20documentos/INNEVO/Proyectos/SIEMENS%20-%20CMMI3/CMMI@CV/20_Implementation/Landscape%20GDL/plm/02_PM/TPL_PM_Reporting_Cockpit_GDL_06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Gral"/>
      <sheetName val="Métricas Base Recursos"/>
      <sheetName val="Métricas Base Workflow"/>
      <sheetName val="Métricas Derivadas"/>
      <sheetName val="Tablero de Control"/>
    </sheetNames>
    <sheetDataSet>
      <sheetData sheetId="0"/>
      <sheetData sheetId="1"/>
      <sheetData sheetId="2">
        <row r="95">
          <cell r="F95">
            <v>0.93</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Gral"/>
      <sheetName val="Esfuerzo, Costos y Tamaño"/>
      <sheetName val="Recursos"/>
      <sheetName val="Defectos"/>
      <sheetName val="Estado del Proyecto"/>
      <sheetName val="Ítems de Acción"/>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ón de Proyecto"/>
      <sheetName val="Analisis PMO"/>
      <sheetName val="Parámetros"/>
    </sheetNames>
    <sheetDataSet>
      <sheetData sheetId="0" refreshError="1"/>
      <sheetData sheetId="1" refreshError="1"/>
      <sheetData sheetId="2">
        <row r="1">
          <cell r="A1" t="str">
            <v>IPQS</v>
          </cell>
          <cell r="B1" t="str">
            <v>MTY</v>
          </cell>
        </row>
        <row r="2">
          <cell r="A2" t="str">
            <v>ISDS</v>
          </cell>
          <cell r="B2" t="str">
            <v>GDL</v>
          </cell>
        </row>
        <row r="3">
          <cell r="B3" t="str">
            <v>DF</v>
          </cell>
        </row>
        <row r="4">
          <cell r="B4" t="str">
            <v>SJ</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s"/>
      <sheetName val="Deckblatt"/>
      <sheetName val="Index"/>
      <sheetName val="Instructions"/>
      <sheetName val="Project Monitor"/>
      <sheetName val="Project Performance"/>
      <sheetName val="Project Admin Effort"/>
      <sheetName val="MTA"/>
      <sheetName val="LOP_Graph"/>
      <sheetName val="MTC_chart"/>
      <sheetName val="MST_data_summary"/>
    </sheetNames>
    <sheetDataSet>
      <sheetData sheetId="0">
        <row r="1">
          <cell r="N1" t="str">
            <v>Project Resources</v>
          </cell>
        </row>
        <row r="2">
          <cell r="N2" t="str">
            <v>Dedicated resources are not available according to the committted project  plan</v>
          </cell>
        </row>
        <row r="3">
          <cell r="N3" t="str">
            <v>Assigned resources are temporarily not available according to the committed project plan</v>
          </cell>
        </row>
        <row r="4">
          <cell r="N4" t="str">
            <v>Dedicated resources are available according to the committed project plan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ables/table1.xml><?xml version="1.0" encoding="utf-8"?>
<table xmlns="http://schemas.openxmlformats.org/spreadsheetml/2006/main" id="1" name="Tabla1" displayName="Tabla1" ref="B7:C10" totalsRowShown="0" headerRowDxfId="11" dataDxfId="10">
  <tableColumns count="2">
    <tableColumn id="1" name="Categoría de CU" dataDxfId="9"/>
    <tableColumn id="2" name="Descripción" dataDxfId="8"/>
  </tableColumns>
  <tableStyleInfo name="TableStyleMedium12" showFirstColumn="0" showLastColumn="0" showRowStripes="1" showColumnStripes="0"/>
</table>
</file>

<file path=xl/tables/table2.xml><?xml version="1.0" encoding="utf-8"?>
<table xmlns="http://schemas.openxmlformats.org/spreadsheetml/2006/main" id="2" name="Tabla2" displayName="Tabla2" ref="B16:C29" totalsRowShown="0" headerRowDxfId="7" dataDxfId="6">
  <tableColumns count="2">
    <tableColumn id="1" name="Factor Técnico" dataDxfId="5"/>
    <tableColumn id="2" name="Descripción" dataDxfId="4"/>
  </tableColumns>
  <tableStyleInfo name="TableStyleMedium12" showFirstColumn="0" showLastColumn="0" showRowStripes="1" showColumnStripes="0"/>
</table>
</file>

<file path=xl/tables/table3.xml><?xml version="1.0" encoding="utf-8"?>
<table xmlns="http://schemas.openxmlformats.org/spreadsheetml/2006/main" id="3" name="Tabla3" displayName="Tabla3" ref="B35:C43" totalsRowShown="0" headerRowDxfId="3" dataDxfId="2">
  <tableColumns count="2">
    <tableColumn id="1" name="Factor _x000a_Técnico" dataDxfId="1"/>
    <tableColumn id="2" name="Descripción" dataDxfId="0"/>
  </tableColumns>
  <tableStyleInfo name="TableStyleMedium1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43"/>
  <sheetViews>
    <sheetView showGridLines="0" topLeftCell="A20" workbookViewId="0">
      <selection activeCell="B31" sqref="B31"/>
    </sheetView>
  </sheetViews>
  <sheetFormatPr baseColWidth="10" defaultRowHeight="15" x14ac:dyDescent="0.25"/>
  <cols>
    <col min="1" max="1" width="1.7109375" style="1" customWidth="1"/>
    <col min="2" max="2" width="25.85546875" style="1" customWidth="1"/>
    <col min="3" max="3" width="62" style="1" customWidth="1"/>
    <col min="4" max="16384" width="11.42578125" style="1"/>
  </cols>
  <sheetData>
    <row r="2" spans="1:7" s="194" customFormat="1" ht="26.25" x14ac:dyDescent="0.4">
      <c r="A2" s="193"/>
      <c r="B2" s="214" t="s">
        <v>136</v>
      </c>
      <c r="C2" s="214"/>
      <c r="D2" s="215" t="s">
        <v>137</v>
      </c>
      <c r="E2" s="215"/>
      <c r="F2" s="215"/>
      <c r="G2" s="215"/>
    </row>
    <row r="4" spans="1:7" s="192" customFormat="1" ht="26.25" x14ac:dyDescent="0.4">
      <c r="A4" s="191"/>
      <c r="B4" s="195" t="s">
        <v>82</v>
      </c>
      <c r="C4" s="191"/>
      <c r="D4" s="191"/>
      <c r="E4" s="191"/>
      <c r="F4" s="191"/>
    </row>
    <row r="5" spans="1:7" x14ac:dyDescent="0.25">
      <c r="B5" s="1" t="s">
        <v>78</v>
      </c>
    </row>
    <row r="7" spans="1:7" ht="23.25" x14ac:dyDescent="0.35">
      <c r="B7" s="30" t="s">
        <v>75</v>
      </c>
      <c r="C7" s="30" t="s">
        <v>4</v>
      </c>
    </row>
    <row r="8" spans="1:7" ht="75" x14ac:dyDescent="0.25">
      <c r="B8" s="29" t="s">
        <v>9</v>
      </c>
      <c r="C8" s="28" t="s">
        <v>71</v>
      </c>
    </row>
    <row r="9" spans="1:7" ht="75" x14ac:dyDescent="0.25">
      <c r="B9" s="29" t="s">
        <v>66</v>
      </c>
      <c r="C9" s="28" t="s">
        <v>79</v>
      </c>
    </row>
    <row r="10" spans="1:7" ht="75" x14ac:dyDescent="0.25">
      <c r="B10" s="29" t="s">
        <v>67</v>
      </c>
      <c r="C10" s="28" t="s">
        <v>10</v>
      </c>
    </row>
    <row r="12" spans="1:7" s="192" customFormat="1" ht="26.25" x14ac:dyDescent="0.4">
      <c r="A12" s="191"/>
      <c r="B12" s="195" t="s">
        <v>81</v>
      </c>
      <c r="C12" s="191"/>
      <c r="D12" s="191"/>
      <c r="E12" s="191"/>
      <c r="F12" s="191"/>
    </row>
    <row r="13" spans="1:7" x14ac:dyDescent="0.25">
      <c r="B13" s="3" t="s">
        <v>138</v>
      </c>
    </row>
    <row r="14" spans="1:7" x14ac:dyDescent="0.25">
      <c r="B14" s="3" t="s">
        <v>77</v>
      </c>
    </row>
    <row r="16" spans="1:7" ht="24" thickBot="1" x14ac:dyDescent="0.4">
      <c r="B16" s="30" t="s">
        <v>72</v>
      </c>
      <c r="C16" s="31" t="s">
        <v>4</v>
      </c>
    </row>
    <row r="17" spans="1:256" x14ac:dyDescent="0.25">
      <c r="B17" s="41" t="s">
        <v>23</v>
      </c>
      <c r="C17" s="34" t="s">
        <v>11</v>
      </c>
    </row>
    <row r="18" spans="1:256" x14ac:dyDescent="0.25">
      <c r="B18" s="40" t="s">
        <v>24</v>
      </c>
      <c r="C18" s="35" t="s">
        <v>17</v>
      </c>
    </row>
    <row r="19" spans="1:256" x14ac:dyDescent="0.25">
      <c r="B19" s="40" t="s">
        <v>25</v>
      </c>
      <c r="C19" s="35" t="s">
        <v>18</v>
      </c>
    </row>
    <row r="20" spans="1:256" x14ac:dyDescent="0.25">
      <c r="A20" s="15"/>
      <c r="B20" s="27" t="s">
        <v>26</v>
      </c>
      <c r="C20" s="42" t="s">
        <v>19</v>
      </c>
    </row>
    <row r="21" spans="1:256" x14ac:dyDescent="0.25">
      <c r="A21" s="43"/>
      <c r="B21" s="27" t="s">
        <v>27</v>
      </c>
      <c r="C21" s="39" t="s">
        <v>20</v>
      </c>
    </row>
    <row r="22" spans="1:256" x14ac:dyDescent="0.25">
      <c r="A22" s="15"/>
      <c r="B22" s="27" t="s">
        <v>28</v>
      </c>
      <c r="C22" s="42" t="s">
        <v>12</v>
      </c>
    </row>
    <row r="23" spans="1:256" x14ac:dyDescent="0.25">
      <c r="A23" s="15"/>
      <c r="B23" s="27" t="s">
        <v>29</v>
      </c>
      <c r="C23" s="39" t="s">
        <v>13</v>
      </c>
    </row>
    <row r="24" spans="1:256" x14ac:dyDescent="0.25">
      <c r="A24" s="15"/>
      <c r="B24" s="27" t="s">
        <v>30</v>
      </c>
      <c r="C24" s="42" t="s">
        <v>14</v>
      </c>
    </row>
    <row r="25" spans="1:256" x14ac:dyDescent="0.25">
      <c r="A25" s="15"/>
      <c r="B25" s="27" t="s">
        <v>31</v>
      </c>
      <c r="C25" s="39" t="s">
        <v>69</v>
      </c>
    </row>
    <row r="26" spans="1:256" x14ac:dyDescent="0.25">
      <c r="A26" s="15"/>
      <c r="B26" s="27" t="s">
        <v>32</v>
      </c>
      <c r="C26" s="33" t="s">
        <v>15</v>
      </c>
    </row>
    <row r="27" spans="1:256" x14ac:dyDescent="0.25">
      <c r="A27" s="15"/>
      <c r="B27" s="26" t="s">
        <v>33</v>
      </c>
      <c r="C27" s="33" t="s">
        <v>21</v>
      </c>
      <c r="D27" s="6"/>
    </row>
    <row r="28" spans="1:256" x14ac:dyDescent="0.25">
      <c r="B28" s="37" t="s">
        <v>34</v>
      </c>
      <c r="C28" s="33" t="s">
        <v>73</v>
      </c>
      <c r="D28" s="6"/>
    </row>
    <row r="29" spans="1:256" ht="15.75" thickBot="1" x14ac:dyDescent="0.3">
      <c r="B29" s="38" t="s">
        <v>35</v>
      </c>
      <c r="C29" s="44" t="s">
        <v>22</v>
      </c>
    </row>
    <row r="31" spans="1:256" s="192" customFormat="1" ht="26.25" x14ac:dyDescent="0.4">
      <c r="A31" s="191"/>
      <c r="B31" s="195" t="s">
        <v>80</v>
      </c>
      <c r="C31" s="191"/>
      <c r="D31" s="191"/>
      <c r="E31" s="191"/>
      <c r="F31" s="191"/>
    </row>
    <row r="32" spans="1:256" x14ac:dyDescent="0.25">
      <c r="A32" s="3"/>
      <c r="B32" s="3" t="s">
        <v>167</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row>
    <row r="33" spans="1:256" x14ac:dyDescent="0.25">
      <c r="A33" s="3"/>
      <c r="B33" s="3" t="s">
        <v>77</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row>
    <row r="35" spans="1:256" ht="47.25" thickBot="1" x14ac:dyDescent="0.4">
      <c r="B35" s="45" t="s">
        <v>59</v>
      </c>
      <c r="C35" s="31" t="s">
        <v>4</v>
      </c>
    </row>
    <row r="36" spans="1:256" x14ac:dyDescent="0.25">
      <c r="B36" s="41" t="s">
        <v>40</v>
      </c>
      <c r="C36" s="46" t="s">
        <v>48</v>
      </c>
    </row>
    <row r="37" spans="1:256" x14ac:dyDescent="0.25">
      <c r="B37" s="29" t="s">
        <v>41</v>
      </c>
      <c r="C37" s="33" t="s">
        <v>50</v>
      </c>
    </row>
    <row r="38" spans="1:256" x14ac:dyDescent="0.25">
      <c r="B38" s="36" t="s">
        <v>42</v>
      </c>
      <c r="C38" s="35" t="s">
        <v>51</v>
      </c>
    </row>
    <row r="39" spans="1:256" x14ac:dyDescent="0.25">
      <c r="B39" s="40" t="s">
        <v>43</v>
      </c>
      <c r="C39" s="47" t="s">
        <v>70</v>
      </c>
    </row>
    <row r="40" spans="1:256" x14ac:dyDescent="0.25">
      <c r="B40" s="29" t="s">
        <v>44</v>
      </c>
      <c r="C40" s="33" t="s">
        <v>52</v>
      </c>
    </row>
    <row r="41" spans="1:256" x14ac:dyDescent="0.25">
      <c r="B41" s="36" t="s">
        <v>45</v>
      </c>
      <c r="C41" s="32" t="s">
        <v>53</v>
      </c>
    </row>
    <row r="42" spans="1:256" x14ac:dyDescent="0.25">
      <c r="B42" s="36" t="s">
        <v>46</v>
      </c>
      <c r="C42" s="32" t="s">
        <v>54</v>
      </c>
    </row>
    <row r="43" spans="1:256" ht="15.75" thickBot="1" x14ac:dyDescent="0.3">
      <c r="B43" s="49" t="s">
        <v>47</v>
      </c>
      <c r="C43" s="48" t="s">
        <v>55</v>
      </c>
    </row>
  </sheetData>
  <mergeCells count="2">
    <mergeCell ref="B2:C2"/>
    <mergeCell ref="D2:G2"/>
  </mergeCells>
  <phoneticPr fontId="4" type="noConversion"/>
  <pageMargins left="0.75" right="0.75" top="1" bottom="1" header="0" footer="0"/>
  <pageSetup paperSize="9" orientation="portrait" r:id="rId1"/>
  <headerFooter alignWithMargins="0"/>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42"/>
  <sheetViews>
    <sheetView showGridLines="0" topLeftCell="A27" zoomScale="80" zoomScaleNormal="80" workbookViewId="0">
      <selection activeCell="C29" sqref="C29"/>
    </sheetView>
  </sheetViews>
  <sheetFormatPr baseColWidth="10" defaultRowHeight="15" x14ac:dyDescent="0.25"/>
  <cols>
    <col min="1" max="1" width="5.28515625" style="1" customWidth="1"/>
    <col min="2" max="2" width="15" style="1" customWidth="1"/>
    <col min="3" max="3" width="59.7109375" style="1" customWidth="1"/>
    <col min="4" max="4" width="13.28515625" style="1" customWidth="1"/>
    <col min="5" max="5" width="10.140625" style="1" customWidth="1"/>
    <col min="6" max="6" width="11.85546875" style="1" customWidth="1"/>
    <col min="7" max="7" width="46.140625" style="1" customWidth="1"/>
    <col min="8" max="8" width="6.7109375" style="1" bestFit="1" customWidth="1"/>
    <col min="9" max="16384" width="11.42578125" style="1"/>
  </cols>
  <sheetData>
    <row r="2" spans="2:11" ht="18.75" x14ac:dyDescent="0.3">
      <c r="B2" s="60" t="s">
        <v>77</v>
      </c>
    </row>
    <row r="3" spans="2:11" ht="33" customHeight="1" x14ac:dyDescent="0.25">
      <c r="B3" s="234" t="s">
        <v>134</v>
      </c>
      <c r="C3" s="234"/>
      <c r="D3" s="234"/>
      <c r="E3" s="234"/>
      <c r="F3" s="234"/>
      <c r="G3" s="234"/>
      <c r="H3" s="234"/>
    </row>
    <row r="4" spans="2:11" x14ac:dyDescent="0.25">
      <c r="B4" s="235" t="s">
        <v>135</v>
      </c>
      <c r="C4" s="235"/>
      <c r="D4" s="235"/>
      <c r="E4" s="235"/>
      <c r="F4" s="235"/>
      <c r="G4" s="235"/>
      <c r="H4" s="235"/>
    </row>
    <row r="5" spans="2:11" x14ac:dyDescent="0.25">
      <c r="B5" s="94"/>
    </row>
    <row r="8" spans="2:11" ht="23.25" x14ac:dyDescent="0.35">
      <c r="B8" s="229" t="s">
        <v>74</v>
      </c>
      <c r="C8" s="230"/>
      <c r="D8" s="230"/>
      <c r="E8" s="230"/>
      <c r="F8" s="230"/>
      <c r="G8" s="230"/>
      <c r="H8" s="231"/>
    </row>
    <row r="9" spans="2:11" ht="18.75" x14ac:dyDescent="0.3">
      <c r="B9" s="173"/>
      <c r="C9" s="174"/>
      <c r="D9" s="174"/>
      <c r="E9" s="174"/>
      <c r="F9" s="174"/>
      <c r="G9" s="174" t="s">
        <v>38</v>
      </c>
      <c r="H9" s="175">
        <f>0.6+(0.01*SUM(F11:F23))</f>
        <v>0.80999999999999994</v>
      </c>
    </row>
    <row r="10" spans="2:11" ht="30" x14ac:dyDescent="0.25">
      <c r="B10" s="176" t="s">
        <v>59</v>
      </c>
      <c r="C10" s="177" t="s">
        <v>4</v>
      </c>
      <c r="D10" s="178" t="s">
        <v>76</v>
      </c>
      <c r="E10" s="178" t="s">
        <v>3</v>
      </c>
      <c r="F10" s="176" t="s">
        <v>36</v>
      </c>
      <c r="G10" s="232" t="s">
        <v>37</v>
      </c>
      <c r="H10" s="233"/>
    </row>
    <row r="11" spans="2:11" x14ac:dyDescent="0.25">
      <c r="B11" s="7" t="s">
        <v>23</v>
      </c>
      <c r="C11" s="8" t="s">
        <v>11</v>
      </c>
      <c r="D11" s="185">
        <v>2</v>
      </c>
      <c r="E11" s="9">
        <v>0</v>
      </c>
      <c r="F11" s="185">
        <f t="shared" ref="F11:F23" si="0">E11*D11</f>
        <v>0</v>
      </c>
      <c r="G11" s="227"/>
      <c r="H11" s="228"/>
      <c r="K11" s="6"/>
    </row>
    <row r="12" spans="2:11" x14ac:dyDescent="0.25">
      <c r="B12" s="10" t="s">
        <v>24</v>
      </c>
      <c r="C12" s="6" t="s">
        <v>17</v>
      </c>
      <c r="D12" s="186">
        <v>2</v>
      </c>
      <c r="E12" s="11">
        <v>2</v>
      </c>
      <c r="F12" s="186">
        <f t="shared" si="0"/>
        <v>4</v>
      </c>
      <c r="G12" s="218"/>
      <c r="H12" s="219"/>
    </row>
    <row r="13" spans="2:11" x14ac:dyDescent="0.25">
      <c r="B13" s="10" t="s">
        <v>25</v>
      </c>
      <c r="C13" s="6" t="s">
        <v>18</v>
      </c>
      <c r="D13" s="186">
        <v>1</v>
      </c>
      <c r="E13" s="11">
        <v>1</v>
      </c>
      <c r="F13" s="186">
        <f t="shared" si="0"/>
        <v>1</v>
      </c>
      <c r="G13" s="218"/>
      <c r="H13" s="219"/>
    </row>
    <row r="14" spans="2:11" x14ac:dyDescent="0.25">
      <c r="B14" s="10" t="s">
        <v>26</v>
      </c>
      <c r="C14" s="6" t="s">
        <v>19</v>
      </c>
      <c r="D14" s="186">
        <v>1</v>
      </c>
      <c r="E14" s="11">
        <v>2</v>
      </c>
      <c r="F14" s="186">
        <f t="shared" si="0"/>
        <v>2</v>
      </c>
      <c r="G14" s="218"/>
      <c r="H14" s="219"/>
    </row>
    <row r="15" spans="2:11" x14ac:dyDescent="0.25">
      <c r="B15" s="10" t="s">
        <v>27</v>
      </c>
      <c r="C15" s="6" t="s">
        <v>20</v>
      </c>
      <c r="D15" s="186">
        <v>1</v>
      </c>
      <c r="E15" s="11">
        <v>2</v>
      </c>
      <c r="F15" s="186">
        <f t="shared" si="0"/>
        <v>2</v>
      </c>
      <c r="G15" s="218"/>
      <c r="H15" s="219"/>
    </row>
    <row r="16" spans="2:11" x14ac:dyDescent="0.25">
      <c r="B16" s="10" t="s">
        <v>28</v>
      </c>
      <c r="C16" s="6" t="s">
        <v>12</v>
      </c>
      <c r="D16" s="186">
        <v>0.5</v>
      </c>
      <c r="E16" s="11">
        <v>2</v>
      </c>
      <c r="F16" s="186">
        <f t="shared" si="0"/>
        <v>1</v>
      </c>
      <c r="G16" s="6"/>
      <c r="H16" s="15"/>
    </row>
    <row r="17" spans="2:8" x14ac:dyDescent="0.25">
      <c r="B17" s="10" t="s">
        <v>29</v>
      </c>
      <c r="C17" s="6" t="s">
        <v>13</v>
      </c>
      <c r="D17" s="186">
        <v>0.5</v>
      </c>
      <c r="E17" s="11">
        <v>2</v>
      </c>
      <c r="F17" s="186">
        <f t="shared" si="0"/>
        <v>1</v>
      </c>
      <c r="G17" s="218"/>
      <c r="H17" s="219"/>
    </row>
    <row r="18" spans="2:8" x14ac:dyDescent="0.25">
      <c r="B18" s="10" t="s">
        <v>30</v>
      </c>
      <c r="C18" s="6" t="s">
        <v>14</v>
      </c>
      <c r="D18" s="186">
        <v>2</v>
      </c>
      <c r="E18" s="11">
        <v>1</v>
      </c>
      <c r="F18" s="186">
        <f t="shared" si="0"/>
        <v>2</v>
      </c>
      <c r="G18" s="6"/>
      <c r="H18" s="15"/>
    </row>
    <row r="19" spans="2:8" x14ac:dyDescent="0.25">
      <c r="B19" s="10" t="s">
        <v>31</v>
      </c>
      <c r="C19" s="6" t="s">
        <v>69</v>
      </c>
      <c r="D19" s="186">
        <v>1</v>
      </c>
      <c r="E19" s="11">
        <v>3</v>
      </c>
      <c r="F19" s="186">
        <f t="shared" si="0"/>
        <v>3</v>
      </c>
      <c r="G19" s="218"/>
      <c r="H19" s="219"/>
    </row>
    <row r="20" spans="2:8" x14ac:dyDescent="0.25">
      <c r="B20" s="10" t="s">
        <v>32</v>
      </c>
      <c r="C20" s="6" t="s">
        <v>15</v>
      </c>
      <c r="D20" s="186">
        <v>1</v>
      </c>
      <c r="E20" s="11">
        <v>1</v>
      </c>
      <c r="F20" s="186">
        <f t="shared" si="0"/>
        <v>1</v>
      </c>
      <c r="G20" s="218"/>
      <c r="H20" s="219"/>
    </row>
    <row r="21" spans="2:8" x14ac:dyDescent="0.25">
      <c r="B21" s="10" t="s">
        <v>33</v>
      </c>
      <c r="C21" s="6" t="s">
        <v>21</v>
      </c>
      <c r="D21" s="186">
        <v>1</v>
      </c>
      <c r="E21" s="11">
        <v>3</v>
      </c>
      <c r="F21" s="186">
        <f t="shared" si="0"/>
        <v>3</v>
      </c>
      <c r="G21" s="218"/>
      <c r="H21" s="219"/>
    </row>
    <row r="22" spans="2:8" x14ac:dyDescent="0.25">
      <c r="B22" s="10" t="s">
        <v>34</v>
      </c>
      <c r="C22" s="6" t="s">
        <v>73</v>
      </c>
      <c r="D22" s="186">
        <v>1</v>
      </c>
      <c r="E22" s="11">
        <v>0</v>
      </c>
      <c r="F22" s="186">
        <f t="shared" si="0"/>
        <v>0</v>
      </c>
      <c r="G22" s="218"/>
      <c r="H22" s="219"/>
    </row>
    <row r="23" spans="2:8" x14ac:dyDescent="0.25">
      <c r="B23" s="12" t="s">
        <v>35</v>
      </c>
      <c r="C23" s="13" t="s">
        <v>22</v>
      </c>
      <c r="D23" s="187">
        <v>1</v>
      </c>
      <c r="E23" s="14">
        <v>1</v>
      </c>
      <c r="F23" s="187">
        <f t="shared" si="0"/>
        <v>1</v>
      </c>
      <c r="G23" s="218"/>
      <c r="H23" s="219"/>
    </row>
    <row r="24" spans="2:8" x14ac:dyDescent="0.25">
      <c r="B24" s="179"/>
      <c r="C24" s="180"/>
      <c r="D24" s="180"/>
      <c r="E24" s="180" t="s">
        <v>60</v>
      </c>
      <c r="F24" s="181">
        <f>SUM(F11:F23)</f>
        <v>21</v>
      </c>
      <c r="G24" s="180"/>
      <c r="H24" s="182"/>
    </row>
    <row r="27" spans="2:8" ht="23.25" x14ac:dyDescent="0.35">
      <c r="B27" s="229" t="s">
        <v>39</v>
      </c>
      <c r="C27" s="230"/>
      <c r="D27" s="230"/>
      <c r="E27" s="230"/>
      <c r="F27" s="230"/>
      <c r="G27" s="230"/>
      <c r="H27" s="231"/>
    </row>
    <row r="28" spans="2:8" ht="18.75" x14ac:dyDescent="0.3">
      <c r="B28" s="174"/>
      <c r="C28" s="174"/>
      <c r="D28" s="174"/>
      <c r="E28" s="174"/>
      <c r="F28" s="174"/>
      <c r="G28" s="174" t="s">
        <v>49</v>
      </c>
      <c r="H28" s="174">
        <f>1.4+(-0.03*SUM(F30:F37))</f>
        <v>0.83</v>
      </c>
    </row>
    <row r="29" spans="2:8" ht="30" x14ac:dyDescent="0.25">
      <c r="B29" s="176" t="s">
        <v>58</v>
      </c>
      <c r="C29" s="177" t="s">
        <v>4</v>
      </c>
      <c r="D29" s="178" t="s">
        <v>76</v>
      </c>
      <c r="E29" s="178" t="s">
        <v>3</v>
      </c>
      <c r="F29" s="176" t="s">
        <v>36</v>
      </c>
      <c r="G29" s="232" t="s">
        <v>37</v>
      </c>
      <c r="H29" s="233"/>
    </row>
    <row r="30" spans="2:8" x14ac:dyDescent="0.25">
      <c r="B30" s="7" t="s">
        <v>40</v>
      </c>
      <c r="C30" s="95" t="s">
        <v>48</v>
      </c>
      <c r="D30" s="183">
        <v>1.5</v>
      </c>
      <c r="E30" s="9">
        <v>3</v>
      </c>
      <c r="F30" s="183">
        <f t="shared" ref="F30:F37" si="1">E30*D30</f>
        <v>4.5</v>
      </c>
      <c r="G30" s="227"/>
      <c r="H30" s="228"/>
    </row>
    <row r="31" spans="2:8" x14ac:dyDescent="0.25">
      <c r="B31" s="10" t="s">
        <v>41</v>
      </c>
      <c r="C31" s="6" t="s">
        <v>50</v>
      </c>
      <c r="D31" s="184">
        <v>0.5</v>
      </c>
      <c r="E31" s="11">
        <v>1</v>
      </c>
      <c r="F31" s="184">
        <f t="shared" si="1"/>
        <v>0.5</v>
      </c>
      <c r="G31" s="218"/>
      <c r="H31" s="219"/>
    </row>
    <row r="32" spans="2:8" x14ac:dyDescent="0.25">
      <c r="B32" s="10" t="s">
        <v>42</v>
      </c>
      <c r="C32" s="6" t="s">
        <v>51</v>
      </c>
      <c r="D32" s="184">
        <v>1</v>
      </c>
      <c r="E32" s="11">
        <v>2</v>
      </c>
      <c r="F32" s="184">
        <f t="shared" si="1"/>
        <v>2</v>
      </c>
      <c r="G32" s="218"/>
      <c r="H32" s="219"/>
    </row>
    <row r="33" spans="2:8" x14ac:dyDescent="0.25">
      <c r="B33" s="10" t="s">
        <v>43</v>
      </c>
      <c r="C33" s="6" t="s">
        <v>70</v>
      </c>
      <c r="D33" s="184">
        <v>0.5</v>
      </c>
      <c r="E33" s="11">
        <v>2</v>
      </c>
      <c r="F33" s="184">
        <f t="shared" si="1"/>
        <v>1</v>
      </c>
      <c r="G33" s="218"/>
      <c r="H33" s="219"/>
    </row>
    <row r="34" spans="2:8" x14ac:dyDescent="0.25">
      <c r="B34" s="10" t="s">
        <v>44</v>
      </c>
      <c r="C34" s="6" t="s">
        <v>52</v>
      </c>
      <c r="D34" s="184">
        <v>1</v>
      </c>
      <c r="E34" s="11">
        <v>1</v>
      </c>
      <c r="F34" s="184">
        <f t="shared" si="1"/>
        <v>1</v>
      </c>
      <c r="G34" s="218"/>
      <c r="H34" s="219"/>
    </row>
    <row r="35" spans="2:8" x14ac:dyDescent="0.25">
      <c r="B35" s="10" t="s">
        <v>45</v>
      </c>
      <c r="C35" s="6" t="s">
        <v>53</v>
      </c>
      <c r="D35" s="184">
        <v>2</v>
      </c>
      <c r="E35" s="11">
        <v>3</v>
      </c>
      <c r="F35" s="184">
        <f t="shared" si="1"/>
        <v>6</v>
      </c>
      <c r="G35" s="6"/>
      <c r="H35" s="15"/>
    </row>
    <row r="36" spans="2:8" x14ac:dyDescent="0.25">
      <c r="B36" s="10" t="s">
        <v>46</v>
      </c>
      <c r="C36" s="6" t="s">
        <v>54</v>
      </c>
      <c r="D36" s="184">
        <v>-1</v>
      </c>
      <c r="E36" s="11">
        <v>0</v>
      </c>
      <c r="F36" s="184">
        <f t="shared" si="1"/>
        <v>0</v>
      </c>
      <c r="G36" s="218"/>
      <c r="H36" s="219"/>
    </row>
    <row r="37" spans="2:8" x14ac:dyDescent="0.25">
      <c r="B37" s="10" t="s">
        <v>47</v>
      </c>
      <c r="C37" s="6" t="s">
        <v>55</v>
      </c>
      <c r="D37" s="184">
        <v>2</v>
      </c>
      <c r="E37" s="11">
        <v>2</v>
      </c>
      <c r="F37" s="184">
        <f t="shared" si="1"/>
        <v>4</v>
      </c>
      <c r="G37" s="6"/>
      <c r="H37" s="15"/>
    </row>
    <row r="38" spans="2:8" x14ac:dyDescent="0.25">
      <c r="B38" s="179"/>
      <c r="C38" s="188"/>
      <c r="D38" s="180"/>
      <c r="E38" s="188" t="s">
        <v>61</v>
      </c>
      <c r="F38" s="181">
        <f>SUM(F30:F37)</f>
        <v>19</v>
      </c>
      <c r="G38" s="180"/>
      <c r="H38" s="182"/>
    </row>
    <row r="40" spans="2:8" x14ac:dyDescent="0.25">
      <c r="B40" s="220" t="s">
        <v>63</v>
      </c>
      <c r="C40" s="221"/>
      <c r="F40" s="224" t="s">
        <v>64</v>
      </c>
      <c r="G40" s="225"/>
      <c r="H40" s="225"/>
    </row>
    <row r="41" spans="2:8" ht="60" customHeight="1" x14ac:dyDescent="0.25">
      <c r="B41" s="222" t="s">
        <v>133</v>
      </c>
      <c r="C41" s="223"/>
      <c r="F41" s="222" t="s">
        <v>199</v>
      </c>
      <c r="G41" s="226"/>
      <c r="H41" s="226"/>
    </row>
    <row r="42" spans="2:8" ht="45" x14ac:dyDescent="0.25">
      <c r="B42" s="190" t="s">
        <v>128</v>
      </c>
      <c r="C42" s="213">
        <v>15</v>
      </c>
      <c r="F42" s="189" t="s">
        <v>65</v>
      </c>
      <c r="G42" s="216">
        <v>6</v>
      </c>
      <c r="H42" s="217"/>
    </row>
  </sheetData>
  <mergeCells count="28">
    <mergeCell ref="B3:H3"/>
    <mergeCell ref="B4:H4"/>
    <mergeCell ref="G14:H14"/>
    <mergeCell ref="B27:H27"/>
    <mergeCell ref="G29:H29"/>
    <mergeCell ref="G30:H30"/>
    <mergeCell ref="G31:H31"/>
    <mergeCell ref="B8:H8"/>
    <mergeCell ref="G11:H11"/>
    <mergeCell ref="G12:H12"/>
    <mergeCell ref="G13:H13"/>
    <mergeCell ref="G10:H10"/>
    <mergeCell ref="G42:H42"/>
    <mergeCell ref="G15:H15"/>
    <mergeCell ref="B40:C40"/>
    <mergeCell ref="B41:C41"/>
    <mergeCell ref="F40:H40"/>
    <mergeCell ref="F41:H41"/>
    <mergeCell ref="G21:H21"/>
    <mergeCell ref="G22:H22"/>
    <mergeCell ref="G23:H23"/>
    <mergeCell ref="G19:H19"/>
    <mergeCell ref="G17:H17"/>
    <mergeCell ref="G36:H36"/>
    <mergeCell ref="G32:H32"/>
    <mergeCell ref="G33:H33"/>
    <mergeCell ref="G34:H34"/>
    <mergeCell ref="G20:H20"/>
  </mergeCells>
  <phoneticPr fontId="4" type="noConversion"/>
  <dataValidations count="1">
    <dataValidation type="list" allowBlank="1" showInputMessage="1" showErrorMessage="1" sqref="E30:E37 E11:E23">
      <formula1>"0,1,2,3,4,5"</formula1>
    </dataValidation>
  </dataValidations>
  <pageMargins left="0.75" right="0.75" top="1" bottom="1" header="0" footer="0"/>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2"/>
  <sheetViews>
    <sheetView showGridLines="0" zoomScale="80" workbookViewId="0">
      <selection activeCell="C9" sqref="C9"/>
    </sheetView>
  </sheetViews>
  <sheetFormatPr baseColWidth="10" defaultRowHeight="15" x14ac:dyDescent="0.25"/>
  <cols>
    <col min="1" max="1" width="2.42578125" style="1" customWidth="1"/>
    <col min="2" max="2" width="4.7109375" style="16" customWidth="1"/>
    <col min="3" max="3" width="76.42578125" style="1" customWidth="1"/>
    <col min="4" max="4" width="11" style="1" customWidth="1"/>
    <col min="5" max="5" width="11.140625" style="16" customWidth="1"/>
    <col min="6" max="6" width="10.7109375" style="16" customWidth="1"/>
    <col min="7" max="7" width="15.7109375" style="16" bestFit="1" customWidth="1"/>
    <col min="8" max="8" width="11.42578125" style="1"/>
    <col min="9" max="9" width="12.140625" style="1" bestFit="1" customWidth="1"/>
    <col min="10" max="16384" width="11.42578125" style="1"/>
  </cols>
  <sheetData>
    <row r="2" spans="2:7" ht="26.25" x14ac:dyDescent="0.4">
      <c r="B2" s="236" t="s">
        <v>5</v>
      </c>
      <c r="C2" s="236"/>
      <c r="D2" s="236"/>
      <c r="E2" s="236"/>
      <c r="F2" s="236"/>
      <c r="G2" s="236"/>
    </row>
    <row r="3" spans="2:7" ht="18.75" x14ac:dyDescent="0.3">
      <c r="B3" s="168"/>
      <c r="C3" s="169"/>
      <c r="D3" s="170"/>
      <c r="E3" s="170"/>
      <c r="F3" s="170" t="s">
        <v>57</v>
      </c>
      <c r="G3" s="171">
        <f>SUM(G5:G29)*'Factor de complejidad Téc y Amb'!H9*'Factor de complejidad Téc y Amb'!H28</f>
        <v>26.891999999999996</v>
      </c>
    </row>
    <row r="4" spans="2:7" x14ac:dyDescent="0.25">
      <c r="B4" s="168" t="s">
        <v>0</v>
      </c>
      <c r="C4" s="172" t="s">
        <v>6</v>
      </c>
      <c r="D4" s="168" t="s">
        <v>193</v>
      </c>
      <c r="E4" s="168" t="s">
        <v>194</v>
      </c>
      <c r="F4" s="168" t="s">
        <v>16</v>
      </c>
      <c r="G4" s="168" t="s">
        <v>56</v>
      </c>
    </row>
    <row r="5" spans="2:7" x14ac:dyDescent="0.25">
      <c r="B5" s="2">
        <v>1</v>
      </c>
      <c r="C5" s="18" t="s">
        <v>180</v>
      </c>
      <c r="D5" s="19" t="s">
        <v>9</v>
      </c>
      <c r="E5" s="20" t="s">
        <v>182</v>
      </c>
      <c r="F5" s="50">
        <f>IF(D5="Simple",5,IF(D5="Promedio",10,IF(D5="Complejo",15,0)))</f>
        <v>5</v>
      </c>
      <c r="G5" s="50">
        <f t="shared" ref="G5:G29" si="0">IF(E5="Si",IF(D5="Simple",5,IF(D5="Promedio",5,IF(D5="Complejo",10,5))),F5)</f>
        <v>5</v>
      </c>
    </row>
    <row r="6" spans="2:7" x14ac:dyDescent="0.25">
      <c r="B6" s="2">
        <v>2</v>
      </c>
      <c r="C6" s="18" t="s">
        <v>195</v>
      </c>
      <c r="D6" s="19" t="s">
        <v>67</v>
      </c>
      <c r="E6" s="20" t="s">
        <v>182</v>
      </c>
      <c r="F6" s="50">
        <f t="shared" ref="F6:F29" si="1">IF(D6="Simple",5,IF(D6="Promedio",10,IF(D6="Complejo",15,0)))</f>
        <v>15</v>
      </c>
      <c r="G6" s="50">
        <f t="shared" si="0"/>
        <v>15</v>
      </c>
    </row>
    <row r="7" spans="2:7" x14ac:dyDescent="0.25">
      <c r="B7" s="2">
        <v>3</v>
      </c>
      <c r="C7" s="18" t="s">
        <v>196</v>
      </c>
      <c r="D7" s="19" t="s">
        <v>9</v>
      </c>
      <c r="E7" s="20" t="s">
        <v>182</v>
      </c>
      <c r="F7" s="50">
        <f t="shared" si="1"/>
        <v>5</v>
      </c>
      <c r="G7" s="50">
        <f t="shared" si="0"/>
        <v>5</v>
      </c>
    </row>
    <row r="8" spans="2:7" x14ac:dyDescent="0.25">
      <c r="B8" s="2">
        <v>4</v>
      </c>
      <c r="C8" s="18" t="s">
        <v>197</v>
      </c>
      <c r="D8" s="19" t="s">
        <v>9</v>
      </c>
      <c r="E8" s="20" t="s">
        <v>182</v>
      </c>
      <c r="F8" s="50">
        <f>IF(D8="Simple",5,IF(D8="Intermedio",10,IF(D8="Complejo",15,0)))</f>
        <v>5</v>
      </c>
      <c r="G8" s="50">
        <f t="shared" si="0"/>
        <v>5</v>
      </c>
    </row>
    <row r="9" spans="2:7" x14ac:dyDescent="0.25">
      <c r="B9" s="2">
        <v>5</v>
      </c>
      <c r="C9" s="18" t="s">
        <v>198</v>
      </c>
      <c r="D9" s="19" t="s">
        <v>181</v>
      </c>
      <c r="E9" s="20" t="s">
        <v>182</v>
      </c>
      <c r="F9" s="50">
        <f t="shared" ref="F9:F16" si="2">IF(D9="Simple",5,IF(D9="Intermedio",10,IF(D9="Complejo",15,0)))</f>
        <v>10</v>
      </c>
      <c r="G9" s="50">
        <f t="shared" si="0"/>
        <v>10</v>
      </c>
    </row>
    <row r="10" spans="2:7" x14ac:dyDescent="0.25">
      <c r="B10" s="2">
        <v>6</v>
      </c>
      <c r="C10" s="18" t="s">
        <v>77</v>
      </c>
      <c r="D10" s="19"/>
      <c r="E10" s="20"/>
      <c r="F10" s="50">
        <f t="shared" si="2"/>
        <v>0</v>
      </c>
      <c r="G10" s="50">
        <f t="shared" si="0"/>
        <v>0</v>
      </c>
    </row>
    <row r="11" spans="2:7" x14ac:dyDescent="0.25">
      <c r="B11" s="2">
        <v>7</v>
      </c>
      <c r="C11" s="18" t="s">
        <v>77</v>
      </c>
      <c r="D11" s="19"/>
      <c r="E11" s="20"/>
      <c r="F11" s="50">
        <f t="shared" si="2"/>
        <v>0</v>
      </c>
      <c r="G11" s="50">
        <f t="shared" si="0"/>
        <v>0</v>
      </c>
    </row>
    <row r="12" spans="2:7" x14ac:dyDescent="0.25">
      <c r="B12" s="2">
        <v>8</v>
      </c>
      <c r="C12" s="18" t="s">
        <v>77</v>
      </c>
      <c r="D12" s="19"/>
      <c r="E12" s="20"/>
      <c r="F12" s="50">
        <f t="shared" si="2"/>
        <v>0</v>
      </c>
      <c r="G12" s="50">
        <f t="shared" si="0"/>
        <v>0</v>
      </c>
    </row>
    <row r="13" spans="2:7" x14ac:dyDescent="0.25">
      <c r="B13" s="2">
        <v>9</v>
      </c>
      <c r="C13" s="18" t="s">
        <v>77</v>
      </c>
      <c r="D13" s="19"/>
      <c r="E13" s="20"/>
      <c r="F13" s="50">
        <f t="shared" si="2"/>
        <v>0</v>
      </c>
      <c r="G13" s="50">
        <f t="shared" si="0"/>
        <v>0</v>
      </c>
    </row>
    <row r="14" spans="2:7" x14ac:dyDescent="0.25">
      <c r="B14" s="2">
        <v>10</v>
      </c>
      <c r="C14" s="18" t="s">
        <v>77</v>
      </c>
      <c r="D14" s="19"/>
      <c r="E14" s="20"/>
      <c r="F14" s="50">
        <f t="shared" si="2"/>
        <v>0</v>
      </c>
      <c r="G14" s="50">
        <f t="shared" si="0"/>
        <v>0</v>
      </c>
    </row>
    <row r="15" spans="2:7" x14ac:dyDescent="0.25">
      <c r="B15" s="2">
        <v>11</v>
      </c>
      <c r="C15" s="18" t="s">
        <v>77</v>
      </c>
      <c r="D15" s="19"/>
      <c r="E15" s="20"/>
      <c r="F15" s="50">
        <f t="shared" si="2"/>
        <v>0</v>
      </c>
      <c r="G15" s="50">
        <f t="shared" si="0"/>
        <v>0</v>
      </c>
    </row>
    <row r="16" spans="2:7" x14ac:dyDescent="0.25">
      <c r="B16" s="2">
        <v>12</v>
      </c>
      <c r="C16" s="18" t="s">
        <v>77</v>
      </c>
      <c r="D16" s="19"/>
      <c r="E16" s="20"/>
      <c r="F16" s="50">
        <f t="shared" si="2"/>
        <v>0</v>
      </c>
      <c r="G16" s="50">
        <f t="shared" si="0"/>
        <v>0</v>
      </c>
    </row>
    <row r="17" spans="2:7" x14ac:dyDescent="0.25">
      <c r="B17" s="2">
        <v>13</v>
      </c>
      <c r="C17" s="18" t="s">
        <v>77</v>
      </c>
      <c r="D17" s="19"/>
      <c r="E17" s="20"/>
      <c r="F17" s="50">
        <f t="shared" si="1"/>
        <v>0</v>
      </c>
      <c r="G17" s="50">
        <f t="shared" si="0"/>
        <v>0</v>
      </c>
    </row>
    <row r="18" spans="2:7" x14ac:dyDescent="0.25">
      <c r="B18" s="2">
        <v>14</v>
      </c>
      <c r="C18" s="130" t="s">
        <v>77</v>
      </c>
      <c r="D18" s="19"/>
      <c r="E18" s="20"/>
      <c r="F18" s="50">
        <f t="shared" si="1"/>
        <v>0</v>
      </c>
      <c r="G18" s="50">
        <f t="shared" si="0"/>
        <v>0</v>
      </c>
    </row>
    <row r="19" spans="2:7" x14ac:dyDescent="0.25">
      <c r="B19" s="2">
        <v>15</v>
      </c>
      <c r="C19" s="130" t="s">
        <v>77</v>
      </c>
      <c r="D19" s="19"/>
      <c r="E19" s="20"/>
      <c r="F19" s="50">
        <f t="shared" si="1"/>
        <v>0</v>
      </c>
      <c r="G19" s="50">
        <f t="shared" si="0"/>
        <v>0</v>
      </c>
    </row>
    <row r="20" spans="2:7" x14ac:dyDescent="0.25">
      <c r="B20" s="2">
        <v>16</v>
      </c>
      <c r="C20" s="130" t="s">
        <v>77</v>
      </c>
      <c r="D20" s="19"/>
      <c r="E20" s="20"/>
      <c r="F20" s="50">
        <f t="shared" si="1"/>
        <v>0</v>
      </c>
      <c r="G20" s="50">
        <f t="shared" si="0"/>
        <v>0</v>
      </c>
    </row>
    <row r="21" spans="2:7" x14ac:dyDescent="0.25">
      <c r="B21" s="2">
        <v>17</v>
      </c>
      <c r="C21" s="18" t="s">
        <v>77</v>
      </c>
      <c r="D21" s="19"/>
      <c r="E21" s="20"/>
      <c r="F21" s="50">
        <f t="shared" si="1"/>
        <v>0</v>
      </c>
      <c r="G21" s="50">
        <f t="shared" si="0"/>
        <v>0</v>
      </c>
    </row>
    <row r="22" spans="2:7" x14ac:dyDescent="0.25">
      <c r="B22" s="2">
        <v>18</v>
      </c>
      <c r="C22" s="18" t="s">
        <v>77</v>
      </c>
      <c r="D22" s="19"/>
      <c r="E22" s="20"/>
      <c r="F22" s="50">
        <f t="shared" si="1"/>
        <v>0</v>
      </c>
      <c r="G22" s="50">
        <f t="shared" si="0"/>
        <v>0</v>
      </c>
    </row>
    <row r="23" spans="2:7" x14ac:dyDescent="0.25">
      <c r="B23" s="2">
        <v>19</v>
      </c>
      <c r="C23" s="21" t="s">
        <v>77</v>
      </c>
      <c r="D23" s="19"/>
      <c r="E23" s="20"/>
      <c r="F23" s="50">
        <f t="shared" si="1"/>
        <v>0</v>
      </c>
      <c r="G23" s="50">
        <f t="shared" si="0"/>
        <v>0</v>
      </c>
    </row>
    <row r="24" spans="2:7" x14ac:dyDescent="0.25">
      <c r="B24" s="2">
        <v>20</v>
      </c>
      <c r="C24" s="18" t="s">
        <v>77</v>
      </c>
      <c r="D24" s="19"/>
      <c r="E24" s="20"/>
      <c r="F24" s="50">
        <f t="shared" si="1"/>
        <v>0</v>
      </c>
      <c r="G24" s="50">
        <f t="shared" si="0"/>
        <v>0</v>
      </c>
    </row>
    <row r="25" spans="2:7" x14ac:dyDescent="0.25">
      <c r="B25" s="2">
        <v>21</v>
      </c>
      <c r="C25" s="18" t="s">
        <v>77</v>
      </c>
      <c r="D25" s="19"/>
      <c r="E25" s="20"/>
      <c r="F25" s="50">
        <f t="shared" si="1"/>
        <v>0</v>
      </c>
      <c r="G25" s="50">
        <f t="shared" si="0"/>
        <v>0</v>
      </c>
    </row>
    <row r="26" spans="2:7" x14ac:dyDescent="0.25">
      <c r="B26" s="2">
        <v>22</v>
      </c>
      <c r="C26" s="4"/>
      <c r="D26" s="19"/>
      <c r="E26" s="20"/>
      <c r="F26" s="50">
        <f t="shared" si="1"/>
        <v>0</v>
      </c>
      <c r="G26" s="50">
        <f t="shared" si="0"/>
        <v>0</v>
      </c>
    </row>
    <row r="27" spans="2:7" x14ac:dyDescent="0.25">
      <c r="B27" s="2">
        <v>23</v>
      </c>
      <c r="C27" s="4"/>
      <c r="D27" s="19"/>
      <c r="E27" s="20"/>
      <c r="F27" s="50">
        <f t="shared" si="1"/>
        <v>0</v>
      </c>
      <c r="G27" s="50">
        <f t="shared" si="0"/>
        <v>0</v>
      </c>
    </row>
    <row r="28" spans="2:7" x14ac:dyDescent="0.25">
      <c r="B28" s="2">
        <v>24</v>
      </c>
      <c r="C28" s="4"/>
      <c r="D28" s="19"/>
      <c r="E28" s="20"/>
      <c r="F28" s="50">
        <f t="shared" si="1"/>
        <v>0</v>
      </c>
      <c r="G28" s="50">
        <f t="shared" si="0"/>
        <v>0</v>
      </c>
    </row>
    <row r="29" spans="2:7" x14ac:dyDescent="0.25">
      <c r="B29" s="2">
        <v>25</v>
      </c>
      <c r="C29" s="4"/>
      <c r="D29" s="19"/>
      <c r="E29" s="20"/>
      <c r="F29" s="50">
        <f t="shared" si="1"/>
        <v>0</v>
      </c>
      <c r="G29" s="50">
        <f t="shared" si="0"/>
        <v>0</v>
      </c>
    </row>
    <row r="30" spans="2:7" x14ac:dyDescent="0.25">
      <c r="B30" s="5"/>
      <c r="C30" s="6"/>
      <c r="D30" s="6"/>
      <c r="E30" s="5"/>
      <c r="F30" s="5"/>
      <c r="G30" s="5"/>
    </row>
    <row r="32" spans="2:7" x14ac:dyDescent="0.25">
      <c r="C32" s="17" t="s">
        <v>7</v>
      </c>
    </row>
  </sheetData>
  <mergeCells count="1">
    <mergeCell ref="B2:G2"/>
  </mergeCells>
  <phoneticPr fontId="0" type="noConversion"/>
  <dataValidations count="3">
    <dataValidation type="list" allowBlank="1" showInputMessage="1" showErrorMessage="1" sqref="D22:D29">
      <formula1>"Simple,Promedio,Complejo"</formula1>
    </dataValidation>
    <dataValidation type="list" allowBlank="1" showInputMessage="1" showErrorMessage="1" sqref="E5:E29">
      <formula1>"Si,No"</formula1>
    </dataValidation>
    <dataValidation type="list" allowBlank="1" showInputMessage="1" showErrorMessage="1" sqref="D5:D21">
      <formula1>"Simple,Intermedio,Complejo"</formula1>
    </dataValidation>
  </dataValidations>
  <pageMargins left="0.78740157480314965" right="0.78740157480314965" top="0.39370078740157483" bottom="0.39370078740157483" header="0" footer="0"/>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4"/>
  <sheetViews>
    <sheetView showGridLines="0" topLeftCell="A10" zoomScale="70" zoomScaleNormal="70" workbookViewId="0">
      <selection activeCell="M16" sqref="M16"/>
    </sheetView>
  </sheetViews>
  <sheetFormatPr baseColWidth="10" defaultRowHeight="15" x14ac:dyDescent="0.25"/>
  <cols>
    <col min="1" max="1" width="3.140625" style="1" customWidth="1"/>
    <col min="2" max="2" width="7" style="16" bestFit="1" customWidth="1"/>
    <col min="3" max="3" width="73.140625" style="1" customWidth="1"/>
    <col min="4" max="4" width="11.7109375" style="1" customWidth="1"/>
    <col min="5" max="5" width="12.5703125" style="16" bestFit="1" customWidth="1"/>
    <col min="6" max="6" width="26.28515625" style="16" bestFit="1" customWidth="1"/>
    <col min="7" max="7" width="20.85546875" style="16" bestFit="1" customWidth="1"/>
    <col min="8" max="8" width="9.28515625" style="16" bestFit="1" customWidth="1"/>
    <col min="9" max="9" width="22.7109375" style="1" customWidth="1"/>
    <col min="10" max="10" width="19" style="1" customWidth="1"/>
    <col min="11" max="11" width="17.42578125" style="1" customWidth="1"/>
    <col min="12" max="16384" width="11.42578125" style="1"/>
  </cols>
  <sheetData>
    <row r="1" spans="2:16" s="22" customFormat="1" x14ac:dyDescent="0.25">
      <c r="B1" s="23"/>
      <c r="C1" s="23"/>
      <c r="D1" s="23"/>
      <c r="E1" s="23"/>
      <c r="F1" s="23"/>
      <c r="G1" s="23"/>
      <c r="H1" s="23"/>
      <c r="I1" s="23"/>
      <c r="J1" s="23"/>
      <c r="K1" s="23"/>
      <c r="L1" s="23"/>
      <c r="M1" s="23"/>
      <c r="N1" s="23"/>
      <c r="O1" s="23"/>
      <c r="P1" s="24"/>
    </row>
    <row r="2" spans="2:16" s="22" customFormat="1" x14ac:dyDescent="0.25">
      <c r="B2" s="23"/>
      <c r="C2" s="104" t="s">
        <v>145</v>
      </c>
      <c r="D2" s="110">
        <f>'Estimación de Tamaño UCP'!G3</f>
        <v>26.891999999999996</v>
      </c>
      <c r="E2" s="105" t="s">
        <v>148</v>
      </c>
      <c r="F2" s="23"/>
      <c r="G2" s="23"/>
      <c r="H2" s="23"/>
      <c r="I2" s="23"/>
      <c r="J2" s="23"/>
      <c r="K2" s="23"/>
      <c r="L2" s="23"/>
      <c r="M2" s="23"/>
      <c r="N2" s="23"/>
      <c r="O2" s="23"/>
      <c r="P2" s="24"/>
    </row>
    <row r="3" spans="2:16" s="22" customFormat="1" x14ac:dyDescent="0.25">
      <c r="B3" s="23"/>
      <c r="C3" s="106" t="s">
        <v>146</v>
      </c>
      <c r="D3" s="103" t="s">
        <v>179</v>
      </c>
      <c r="E3" s="107" t="s">
        <v>149</v>
      </c>
      <c r="F3" s="23">
        <f>'Factor de complejidad Téc y Amb'!C42</f>
        <v>15</v>
      </c>
      <c r="G3" s="23"/>
      <c r="H3" s="23"/>
      <c r="I3" s="23"/>
      <c r="J3" s="23"/>
      <c r="K3" s="23"/>
      <c r="L3" s="23"/>
      <c r="M3" s="23"/>
      <c r="N3" s="23"/>
      <c r="O3" s="23"/>
      <c r="P3" s="24"/>
    </row>
    <row r="4" spans="2:16" s="22" customFormat="1" x14ac:dyDescent="0.25">
      <c r="B4" s="23"/>
      <c r="C4" s="108" t="s">
        <v>147</v>
      </c>
      <c r="D4" s="111">
        <f>D3*D2</f>
        <v>403.37999999999994</v>
      </c>
      <c r="E4" s="109" t="s">
        <v>149</v>
      </c>
      <c r="F4" s="23"/>
      <c r="G4" s="23"/>
      <c r="H4" s="23"/>
      <c r="I4" s="23"/>
      <c r="J4" s="23"/>
      <c r="K4" s="23"/>
      <c r="L4" s="23"/>
      <c r="M4" s="23"/>
      <c r="N4" s="23"/>
      <c r="O4" s="23"/>
      <c r="P4" s="24"/>
    </row>
    <row r="5" spans="2:16" s="22" customFormat="1" x14ac:dyDescent="0.25">
      <c r="B5" s="23"/>
      <c r="C5" s="23"/>
      <c r="D5" s="23"/>
      <c r="E5" s="23"/>
      <c r="F5" s="23"/>
      <c r="G5" s="23"/>
      <c r="H5" s="23"/>
      <c r="I5" s="23"/>
      <c r="J5" s="23"/>
      <c r="K5" s="23"/>
      <c r="L5" s="23"/>
      <c r="M5" s="23"/>
      <c r="N5" s="23"/>
      <c r="O5" s="23"/>
      <c r="P5" s="24"/>
    </row>
    <row r="6" spans="2:16" ht="26.25" x14ac:dyDescent="0.4">
      <c r="B6" s="241" t="s">
        <v>68</v>
      </c>
      <c r="C6" s="242"/>
      <c r="D6" s="242"/>
      <c r="E6" s="242"/>
      <c r="F6" s="242"/>
      <c r="G6" s="242"/>
      <c r="H6" s="242"/>
      <c r="I6" s="242"/>
      <c r="J6" s="242"/>
      <c r="K6" s="243"/>
    </row>
    <row r="7" spans="2:16" ht="21" x14ac:dyDescent="0.35">
      <c r="B7" s="51"/>
      <c r="C7" s="52"/>
      <c r="D7" s="52"/>
      <c r="E7" s="52"/>
      <c r="F7" s="131">
        <f>SUM(F9+F16+F30+F47+F50)</f>
        <v>226</v>
      </c>
      <c r="G7" s="52"/>
      <c r="H7" s="52"/>
      <c r="I7" s="51"/>
      <c r="J7" s="51"/>
      <c r="K7" s="115"/>
    </row>
    <row r="8" spans="2:16" ht="15.75" x14ac:dyDescent="0.25">
      <c r="B8" s="53" t="s">
        <v>0</v>
      </c>
      <c r="C8" s="54" t="s">
        <v>139</v>
      </c>
      <c r="D8" s="53" t="s">
        <v>62</v>
      </c>
      <c r="E8" s="53" t="s">
        <v>2</v>
      </c>
      <c r="F8" s="53" t="s">
        <v>129</v>
      </c>
      <c r="G8" s="53" t="s">
        <v>102</v>
      </c>
      <c r="H8" s="53" t="s">
        <v>2</v>
      </c>
      <c r="I8" s="88" t="s">
        <v>103</v>
      </c>
      <c r="J8" s="89" t="s">
        <v>101</v>
      </c>
      <c r="K8" s="116" t="s">
        <v>83</v>
      </c>
    </row>
    <row r="9" spans="2:16" ht="15.75" x14ac:dyDescent="0.25">
      <c r="B9" s="145">
        <v>1</v>
      </c>
      <c r="C9" s="146" t="s">
        <v>1</v>
      </c>
      <c r="D9" s="147"/>
      <c r="E9" s="152">
        <f>(F9/F7)</f>
        <v>0.12831858407079647</v>
      </c>
      <c r="F9" s="155">
        <f>SUM(F10:F15)</f>
        <v>29</v>
      </c>
      <c r="G9" s="150"/>
      <c r="H9" s="157"/>
      <c r="I9" s="237" t="s">
        <v>116</v>
      </c>
      <c r="J9" s="238"/>
      <c r="K9" s="203">
        <f>SUM(K10:K15)</f>
        <v>1826.9240816885965</v>
      </c>
    </row>
    <row r="10" spans="2:16" ht="15.75" x14ac:dyDescent="0.25">
      <c r="B10" s="55"/>
      <c r="C10" s="196" t="s">
        <v>107</v>
      </c>
      <c r="D10" s="55"/>
      <c r="E10" s="77"/>
      <c r="F10" s="59">
        <v>7</v>
      </c>
      <c r="G10" s="61">
        <v>1</v>
      </c>
      <c r="H10" s="99">
        <f>(F10/F9)</f>
        <v>0.2413793103448276</v>
      </c>
      <c r="I10" s="90" t="s">
        <v>86</v>
      </c>
      <c r="J10" s="91">
        <f>IF(I10="Líder de proyecto",Recursos!E$5,(IF(I10="Analista",Recursos!E$6,(IF(I10="Diseñador",Recursos!#REF!,(IF(I10="Tester",Recursos!E$7,(IF(I10="Desarrollador",Recursos!E$8,(IF(I10="Arquitecto",Recursos!E$12,(IF(I10="Aseguramiento de la calidad",Recursos!E$9,0)))))))))))))</f>
        <v>62.997382127192978</v>
      </c>
      <c r="K10" s="117">
        <f t="shared" ref="K10:K15" si="0">F10*J10*G10</f>
        <v>440.98167489035086</v>
      </c>
    </row>
    <row r="11" spans="2:16" ht="15.75" x14ac:dyDescent="0.25">
      <c r="B11" s="55"/>
      <c r="C11" s="196" t="s">
        <v>108</v>
      </c>
      <c r="D11" s="55"/>
      <c r="E11" s="77"/>
      <c r="F11" s="59">
        <v>3</v>
      </c>
      <c r="G11" s="61">
        <v>1</v>
      </c>
      <c r="H11" s="99">
        <f>(F11/F9)</f>
        <v>0.10344827586206896</v>
      </c>
      <c r="I11" s="90" t="s">
        <v>86</v>
      </c>
      <c r="J11" s="91">
        <f>IF(I11="Líder de proyecto",Recursos!E$5,(IF(I11="Analista",Recursos!E$6,(IF(I11="Diseñador",Recursos!#REF!,(IF(I11="Tester",Recursos!E$7,(IF(I11="Desarrollador",Recursos!E$8,(IF(I11="Arquitecto",Recursos!E$12,(IF(I11="Aseguramiento de la calidad",Recursos!E$9,0)))))))))))))</f>
        <v>62.997382127192978</v>
      </c>
      <c r="K11" s="117">
        <f t="shared" si="0"/>
        <v>188.99214638157895</v>
      </c>
    </row>
    <row r="12" spans="2:16" ht="15.75" x14ac:dyDescent="0.25">
      <c r="B12" s="55"/>
      <c r="C12" s="196" t="s">
        <v>168</v>
      </c>
      <c r="D12" s="55"/>
      <c r="E12" s="77"/>
      <c r="F12" s="59">
        <v>2</v>
      </c>
      <c r="G12" s="61">
        <v>1</v>
      </c>
      <c r="H12" s="99">
        <f>(F12/F9)</f>
        <v>6.8965517241379309E-2</v>
      </c>
      <c r="I12" s="90" t="s">
        <v>86</v>
      </c>
      <c r="J12" s="91">
        <f>IF(I12="Líder de proyecto",Recursos!E$5,(IF(I12="Analista",Recursos!E$6,(IF(I12="Diseñador",Recursos!#REF!,(IF(I12="Tester",Recursos!E$7,(IF(I12="Desarrollador",Recursos!E$8,(IF(I12="Arquitecto",Recursos!E$12,(IF(I12="Aseguramiento de la calidad",Recursos!E$9,0)))))))))))))</f>
        <v>62.997382127192978</v>
      </c>
      <c r="K12" s="117">
        <f t="shared" si="0"/>
        <v>125.99476425438596</v>
      </c>
    </row>
    <row r="13" spans="2:16" ht="15.75" x14ac:dyDescent="0.25">
      <c r="B13" s="55"/>
      <c r="C13" s="196" t="s">
        <v>111</v>
      </c>
      <c r="D13" s="55"/>
      <c r="E13" s="77"/>
      <c r="F13" s="59">
        <v>12</v>
      </c>
      <c r="G13" s="61">
        <v>1</v>
      </c>
      <c r="H13" s="99">
        <f>(F13/F9)</f>
        <v>0.41379310344827586</v>
      </c>
      <c r="I13" s="90" t="s">
        <v>86</v>
      </c>
      <c r="J13" s="91">
        <f>IF(I13="Líder de proyecto",Recursos!E$5,(IF(I13="Analista",Recursos!E$6,(IF(I13="Diseñador",Recursos!#REF!,(IF(I13="Tester",Recursos!E$7,(IF(I13="Desarrollador",Recursos!E$8,(IF(I13="Arquitecto",Recursos!E$12,(IF(I13="Aseguramiento de la calidad",Recursos!E$9,0)))))))))))))</f>
        <v>62.997382127192978</v>
      </c>
      <c r="K13" s="117">
        <f t="shared" si="0"/>
        <v>755.96858552631579</v>
      </c>
    </row>
    <row r="14" spans="2:16" ht="15.75" x14ac:dyDescent="0.25">
      <c r="B14" s="55"/>
      <c r="C14" s="196" t="s">
        <v>189</v>
      </c>
      <c r="D14" s="55"/>
      <c r="E14" s="77"/>
      <c r="F14" s="59">
        <v>1</v>
      </c>
      <c r="G14" s="61">
        <v>1</v>
      </c>
      <c r="H14" s="99">
        <f>(F14/F9)</f>
        <v>3.4482758620689655E-2</v>
      </c>
      <c r="I14" s="90" t="s">
        <v>86</v>
      </c>
      <c r="J14" s="91">
        <f>IF(I14="Líder de proyecto",Recursos!E$5,(IF(I14="Analista",Recursos!E$6,(IF(I14="Diseñador",Recursos!#REF!,(IF(I14="Tester",Recursos!E$7,(IF(I14="Desarrollador",Recursos!E$8,(IF(I14="Arquitecto",Recursos!E$12,(IF(I14="Aseguramiento de la calidad",Recursos!E$9,0)))))))))))))</f>
        <v>62.997382127192978</v>
      </c>
      <c r="K14" s="117">
        <f t="shared" si="0"/>
        <v>62.997382127192978</v>
      </c>
    </row>
    <row r="15" spans="2:16" ht="15.75" x14ac:dyDescent="0.25">
      <c r="B15" s="55"/>
      <c r="C15" s="196" t="s">
        <v>109</v>
      </c>
      <c r="D15" s="55"/>
      <c r="E15" s="197"/>
      <c r="F15" s="59">
        <v>4</v>
      </c>
      <c r="G15" s="61">
        <v>1</v>
      </c>
      <c r="H15" s="99">
        <f>F15/F9</f>
        <v>0.13793103448275862</v>
      </c>
      <c r="I15" s="90" t="s">
        <v>86</v>
      </c>
      <c r="J15" s="91">
        <f>IF(I15="Líder de proyecto",Recursos!E$5,(IF(I15="Analista",Recursos!E$6,(IF(I15="Diseñador",Recursos!#REF!,(IF(I15="Tester",Recursos!E$7,(IF(I15="Desarrollador",Recursos!E$8,(IF(I15="Arquitecto",Recursos!E$12,(IF(I15="Aseguramiento de la calidad",Recursos!E$9,0)))))))))))))</f>
        <v>62.997382127192978</v>
      </c>
      <c r="K15" s="117">
        <f t="shared" si="0"/>
        <v>251.98952850877191</v>
      </c>
    </row>
    <row r="16" spans="2:16" ht="36" customHeight="1" x14ac:dyDescent="0.25">
      <c r="B16" s="145">
        <v>2</v>
      </c>
      <c r="C16" s="146" t="s">
        <v>104</v>
      </c>
      <c r="D16" s="147"/>
      <c r="E16" s="152">
        <f>(F16/F7)</f>
        <v>0.20353982300884957</v>
      </c>
      <c r="F16" s="155">
        <f>F17+F25</f>
        <v>46</v>
      </c>
      <c r="G16" s="150"/>
      <c r="H16" s="157"/>
      <c r="I16" s="244" t="s">
        <v>117</v>
      </c>
      <c r="J16" s="245" t="s">
        <v>77</v>
      </c>
      <c r="K16" s="203">
        <f>SUM(K17+K25)</f>
        <v>3268.5041666666666</v>
      </c>
    </row>
    <row r="17" spans="2:14" ht="15.75" x14ac:dyDescent="0.25">
      <c r="B17" s="55"/>
      <c r="C17" s="66" t="s">
        <v>112</v>
      </c>
      <c r="D17" s="79"/>
      <c r="E17" s="77"/>
      <c r="F17" s="202">
        <f>SUM(F18:F24)</f>
        <v>19</v>
      </c>
      <c r="G17" s="80"/>
      <c r="H17" s="81"/>
      <c r="I17" s="246" t="s">
        <v>118</v>
      </c>
      <c r="J17" s="247" t="s">
        <v>77</v>
      </c>
      <c r="K17" s="204">
        <f>SUM(K18:K24)</f>
        <v>1345.2000959429824</v>
      </c>
    </row>
    <row r="18" spans="2:14" ht="15.75" x14ac:dyDescent="0.25">
      <c r="B18" s="55"/>
      <c r="C18" s="196" t="s">
        <v>190</v>
      </c>
      <c r="D18" s="55"/>
      <c r="E18" s="77"/>
      <c r="F18" s="59">
        <v>2</v>
      </c>
      <c r="G18" s="59">
        <v>1</v>
      </c>
      <c r="H18" s="99">
        <f>(F18/F16)</f>
        <v>4.3478260869565216E-2</v>
      </c>
      <c r="I18" s="90" t="s">
        <v>85</v>
      </c>
      <c r="J18" s="91">
        <f>IF(I18="Líder de proyecto",Recursos!E$5,(IF(I18="Analista",Recursos!E$6,(IF(I18="Diseñador",Recursos!#REF!,(IF(I18="Tester",Recursos!E$7,(IF(I18="Desarrollador",Recursos!E$8,(IF(I18="Arquitecto",Recursos!E$12,(IF(I18="Aseguramiento de la calidad",Recursos!E$9,0)))))))))))))</f>
        <v>71.233484100877192</v>
      </c>
      <c r="K18" s="117">
        <f>F18*J18*G18</f>
        <v>142.46696820175438</v>
      </c>
    </row>
    <row r="19" spans="2:14" ht="15.75" x14ac:dyDescent="0.25">
      <c r="B19" s="55"/>
      <c r="C19" s="196" t="s">
        <v>158</v>
      </c>
      <c r="D19" s="55"/>
      <c r="E19" s="77"/>
      <c r="F19" s="59">
        <v>4</v>
      </c>
      <c r="G19" s="61">
        <v>1</v>
      </c>
      <c r="H19" s="99">
        <f>(F19/F16)</f>
        <v>8.6956521739130432E-2</v>
      </c>
      <c r="I19" s="90" t="s">
        <v>85</v>
      </c>
      <c r="J19" s="91">
        <f>IF(I19="Líder de proyecto",Recursos!E$5,(IF(I19="Analista",Recursos!E$6,(IF(I19="Diseñador",Recursos!#REF!,(IF(I19="Tester",Recursos!E$7,(IF(I19="Desarrollador",Recursos!E$8,(IF(I19="Arquitecto",Recursos!E$12,(IF(I19="Aseguramiento de la calidad",Recursos!E$9,0)))))))))))))</f>
        <v>71.233484100877192</v>
      </c>
      <c r="K19" s="117">
        <f>F19*J19*G19</f>
        <v>284.93393640350877</v>
      </c>
    </row>
    <row r="20" spans="2:14" ht="15.75" x14ac:dyDescent="0.25">
      <c r="B20" s="55"/>
      <c r="C20" s="196" t="s">
        <v>110</v>
      </c>
      <c r="D20" s="55"/>
      <c r="E20" s="77"/>
      <c r="F20" s="59">
        <v>6</v>
      </c>
      <c r="G20" s="61">
        <v>1</v>
      </c>
      <c r="H20" s="99">
        <f>(F20/F16)</f>
        <v>0.13043478260869565</v>
      </c>
      <c r="I20" s="90" t="s">
        <v>85</v>
      </c>
      <c r="J20" s="91">
        <f>IF(I20="Líder de proyecto",Recursos!E$5,(IF(I20="Analista",Recursos!E$6,(IF(I20="Diseñador",Recursos!#REF!,(IF(I20="Tester",Recursos!E$7,(IF(I20="Desarrollador",Recursos!E$8,(IF(I20="Arquitecto",Recursos!E$12,(IF(I20="Aseguramiento de la calidad",Recursos!E$9,0)))))))))))))</f>
        <v>71.233484100877192</v>
      </c>
      <c r="K20" s="117">
        <f t="shared" ref="K20:K22" si="1">F20*J20*G20</f>
        <v>427.40090460526312</v>
      </c>
    </row>
    <row r="21" spans="2:14" ht="15.75" x14ac:dyDescent="0.25">
      <c r="B21" s="55"/>
      <c r="C21" s="196" t="s">
        <v>172</v>
      </c>
      <c r="D21" s="55"/>
      <c r="E21" s="77"/>
      <c r="F21" s="59">
        <v>1</v>
      </c>
      <c r="G21" s="61">
        <v>1</v>
      </c>
      <c r="H21" s="99">
        <f>(F21/F16)</f>
        <v>2.1739130434782608E-2</v>
      </c>
      <c r="I21" s="90" t="s">
        <v>86</v>
      </c>
      <c r="J21" s="91">
        <f>IF(I21="Líder de proyecto",Recursos!E$5,(IF(I21="Analista",Recursos!E$6,(IF(I21="Diseñador",Recursos!#REF!,(IF(I21="Tester",Recursos!E$7,(IF(I21="Desarrollador",Recursos!E$8,(IF(I21="Arquitecto",Recursos!E$12,(IF(I21="Aseguramiento de la calidad",Recursos!E$9,0)))))))))))))</f>
        <v>62.997382127192978</v>
      </c>
      <c r="K21" s="117">
        <f t="shared" si="1"/>
        <v>62.997382127192978</v>
      </c>
      <c r="N21" s="135"/>
    </row>
    <row r="22" spans="2:14" ht="15.75" x14ac:dyDescent="0.25">
      <c r="B22" s="55"/>
      <c r="C22" s="196" t="s">
        <v>162</v>
      </c>
      <c r="D22" s="55"/>
      <c r="E22" s="77"/>
      <c r="F22" s="59">
        <v>1</v>
      </c>
      <c r="G22" s="61">
        <v>1</v>
      </c>
      <c r="H22" s="99">
        <f>(F22/F16)</f>
        <v>2.1739130434782608E-2</v>
      </c>
      <c r="I22" s="90" t="s">
        <v>85</v>
      </c>
      <c r="J22" s="91">
        <f>IF(I22="Líder de proyecto",Recursos!E$5,(IF(I22="Analista",Recursos!E$6,(IF(I22="Diseñador",Recursos!#REF!,(IF(I22="Tester",Recursos!E$7,(IF(I22="Desarrollador",Recursos!E$8,(IF(I22="Arquitecto",Recursos!E$12,(IF(I22="Aseguramiento de la calidad",Recursos!E$9,0)))))))))))))</f>
        <v>71.233484100877192</v>
      </c>
      <c r="K22" s="117">
        <f t="shared" si="1"/>
        <v>71.233484100877192</v>
      </c>
      <c r="N22" s="135"/>
    </row>
    <row r="23" spans="2:14" ht="15.75" x14ac:dyDescent="0.25">
      <c r="B23" s="55"/>
      <c r="C23" s="196" t="s">
        <v>191</v>
      </c>
      <c r="D23" s="55"/>
      <c r="E23" s="77"/>
      <c r="F23" s="59">
        <v>1</v>
      </c>
      <c r="G23" s="61">
        <v>1</v>
      </c>
      <c r="H23" s="99">
        <f>(F23/F16)</f>
        <v>2.1739130434782608E-2</v>
      </c>
      <c r="I23" s="90" t="s">
        <v>85</v>
      </c>
      <c r="J23" s="91">
        <f>IF(I23="Líder de proyecto",Recursos!E$5,(IF(I23="Analista",Recursos!E$6,(IF(I23="Diseñador",Recursos!#REF!,(IF(I23="Tester",Recursos!E$7,(IF(I23="Desarrollador",Recursos!E$8,(IF(I23="Arquitecto",Recursos!E$12,(IF(I23="Aseguramiento de la calidad",Recursos!E$9,0)))))))))))))</f>
        <v>71.233484100877192</v>
      </c>
      <c r="K23" s="118">
        <f>F23*J23*G23</f>
        <v>71.233484100877192</v>
      </c>
    </row>
    <row r="24" spans="2:14" ht="15.75" x14ac:dyDescent="0.25">
      <c r="B24" s="55"/>
      <c r="C24" s="198" t="s">
        <v>192</v>
      </c>
      <c r="D24" s="55"/>
      <c r="E24" s="77"/>
      <c r="F24" s="59">
        <v>4</v>
      </c>
      <c r="G24" s="61">
        <v>1</v>
      </c>
      <c r="H24" s="99">
        <f>(F24/F16)</f>
        <v>8.6956521739130432E-2</v>
      </c>
      <c r="I24" s="90" t="s">
        <v>85</v>
      </c>
      <c r="J24" s="91">
        <f>IF(I24="Líder de proyecto",Recursos!E$5,(IF(I24="Analista",Recursos!E$6,(IF(I24="Diseñador",Recursos!#REF!,(IF(I24="Tester",Recursos!E$7,(IF(I24="Desarrollador",Recursos!E$8,(IF(I24="Arquitecto",Recursos!E$12,(IF(I24="Aseguramiento de la calidad",Recursos!E$9,0)))))))))))))</f>
        <v>71.233484100877192</v>
      </c>
      <c r="K24" s="118">
        <f>F24*J24*G24</f>
        <v>284.93393640350877</v>
      </c>
    </row>
    <row r="25" spans="2:14" ht="15.75" x14ac:dyDescent="0.25">
      <c r="B25" s="55"/>
      <c r="C25" s="66" t="s">
        <v>113</v>
      </c>
      <c r="D25" s="79"/>
      <c r="E25" s="77"/>
      <c r="F25" s="201">
        <f>SUM(F26:F29)</f>
        <v>27</v>
      </c>
      <c r="G25" s="80"/>
      <c r="H25" s="81"/>
      <c r="I25" s="246" t="s">
        <v>119</v>
      </c>
      <c r="J25" s="247" t="s">
        <v>77</v>
      </c>
      <c r="K25" s="204">
        <f>SUM(K26:K29)</f>
        <v>1923.3040707236839</v>
      </c>
    </row>
    <row r="26" spans="2:14" ht="15.75" x14ac:dyDescent="0.25">
      <c r="B26" s="199"/>
      <c r="C26" s="196" t="s">
        <v>173</v>
      </c>
      <c r="E26" s="77"/>
      <c r="F26" s="59">
        <v>11</v>
      </c>
      <c r="G26" s="61">
        <v>1</v>
      </c>
      <c r="H26" s="99">
        <f>(F26/F16)</f>
        <v>0.2391304347826087</v>
      </c>
      <c r="I26" s="90" t="s">
        <v>85</v>
      </c>
      <c r="J26" s="91">
        <f>IF(I26="Líder de proyecto",Recursos!E$5,(IF(I26="Analista",Recursos!E$6,(IF(I26="Diseñador",Recursos!#REF!,(IF(I26="Tester",Recursos!E$7,(IF(I26="Desarrollador",Recursos!E$8,(IF(I26="Arquitecto",Recursos!E$12,(IF(I26="Aseguramiento de la calidad",Recursos!E$9,0)))))))))))))</f>
        <v>71.233484100877192</v>
      </c>
      <c r="K26" s="117">
        <f t="shared" ref="K26:K29" si="2">F26*J26*G26</f>
        <v>783.56832510964909</v>
      </c>
    </row>
    <row r="27" spans="2:14" ht="15.75" x14ac:dyDescent="0.25">
      <c r="B27" s="55"/>
      <c r="C27" s="196" t="s">
        <v>152</v>
      </c>
      <c r="D27" s="55"/>
      <c r="E27" s="77"/>
      <c r="F27" s="59">
        <v>13</v>
      </c>
      <c r="G27" s="61">
        <v>1</v>
      </c>
      <c r="H27" s="99">
        <f>(F27/F16)</f>
        <v>0.28260869565217389</v>
      </c>
      <c r="I27" s="90" t="s">
        <v>85</v>
      </c>
      <c r="J27" s="91">
        <f>IF(I27="Líder de proyecto",Recursos!E$5,(IF(I27="Analista",Recursos!E$6,(IF(I27="Diseñador",Recursos!#REF!,(IF(I27="Tester",Recursos!E$7,(IF(I27="Desarrollador",Recursos!E$8,(IF(I27="Arquitecto",Recursos!E$12,(IF(I27="Aseguramiento de la calidad",Recursos!E$9,0)))))))))))))</f>
        <v>71.233484100877192</v>
      </c>
      <c r="K27" s="117">
        <f t="shared" si="2"/>
        <v>926.03529331140351</v>
      </c>
    </row>
    <row r="28" spans="2:14" ht="15.75" x14ac:dyDescent="0.25">
      <c r="B28" s="55"/>
      <c r="C28" s="196" t="s">
        <v>183</v>
      </c>
      <c r="D28" s="55"/>
      <c r="E28" s="77"/>
      <c r="F28" s="59">
        <v>1</v>
      </c>
      <c r="G28" s="61">
        <v>1</v>
      </c>
      <c r="H28" s="99">
        <f>(F28/F16)</f>
        <v>2.1739130434782608E-2</v>
      </c>
      <c r="I28" s="90" t="s">
        <v>85</v>
      </c>
      <c r="J28" s="91">
        <f>IF(I28="Líder de proyecto",Recursos!E$5,(IF(I28="Analista",Recursos!E$6,(IF(I28="Diseñador",Recursos!#REF!,(IF(I28="Tester",Recursos!E$7,(IF(I28="Desarrollador",Recursos!E$8,(IF(I28="Arquitecto",Recursos!E$12,(IF(I28="Aseguramiento de la calidad",Recursos!E$9,0)))))))))))))</f>
        <v>71.233484100877192</v>
      </c>
      <c r="K28" s="117">
        <f t="shared" si="2"/>
        <v>71.233484100877192</v>
      </c>
    </row>
    <row r="29" spans="2:14" ht="15.75" x14ac:dyDescent="0.25">
      <c r="B29" s="55"/>
      <c r="C29" s="196" t="s">
        <v>153</v>
      </c>
      <c r="D29" s="55"/>
      <c r="E29" s="197"/>
      <c r="F29" s="59">
        <v>2</v>
      </c>
      <c r="G29" s="61">
        <v>1</v>
      </c>
      <c r="H29" s="99">
        <f>(F29/F16)</f>
        <v>4.3478260869565216E-2</v>
      </c>
      <c r="I29" s="90" t="s">
        <v>85</v>
      </c>
      <c r="J29" s="91">
        <f>IF(I29="Líder de proyecto",Recursos!E$5,(IF(I29="Analista",Recursos!E$6,(IF(I29="Diseñador",Recursos!#REF!,(IF(I29="Tester",Recursos!E$7,(IF(I29="Desarrollador",Recursos!E$8,(IF(I29="Arquitecto",Recursos!E$12,(IF(I29="Aseguramiento de la calidad",Recursos!E$9,0)))))))))))))</f>
        <v>71.233484100877192</v>
      </c>
      <c r="K29" s="117">
        <f t="shared" si="2"/>
        <v>142.46696820175438</v>
      </c>
    </row>
    <row r="30" spans="2:14" ht="15.75" x14ac:dyDescent="0.25">
      <c r="B30" s="145">
        <v>3</v>
      </c>
      <c r="C30" s="146" t="s">
        <v>154</v>
      </c>
      <c r="D30" s="153"/>
      <c r="E30" s="154">
        <f>SUM(E31+E36+E38+E45)</f>
        <v>0.40707964601769908</v>
      </c>
      <c r="F30" s="155">
        <f>F31+F36+F38+F45</f>
        <v>100</v>
      </c>
      <c r="G30" s="150"/>
      <c r="H30" s="156"/>
      <c r="I30" s="237" t="s">
        <v>156</v>
      </c>
      <c r="J30" s="238" t="s">
        <v>77</v>
      </c>
      <c r="K30" s="203">
        <f>SUM(K38+K36+K44+K31)</f>
        <v>7536.7303453947361</v>
      </c>
    </row>
    <row r="31" spans="2:14" ht="15.75" x14ac:dyDescent="0.25">
      <c r="B31" s="63">
        <v>3.1</v>
      </c>
      <c r="C31" s="67" t="s">
        <v>163</v>
      </c>
      <c r="D31" s="68"/>
      <c r="E31" s="114">
        <f>(F31/F7)</f>
        <v>5.7522123893805309E-2</v>
      </c>
      <c r="F31" s="82">
        <f>SUM(F32:F35)</f>
        <v>13</v>
      </c>
      <c r="G31" s="78"/>
      <c r="H31" s="92"/>
      <c r="I31" s="248" t="s">
        <v>186</v>
      </c>
      <c r="J31" s="249" t="s">
        <v>77</v>
      </c>
      <c r="K31" s="205">
        <f>SUM(K32:K35)</f>
        <v>926.03529331140351</v>
      </c>
    </row>
    <row r="32" spans="2:14" ht="15.75" x14ac:dyDescent="0.25">
      <c r="B32" s="63"/>
      <c r="C32" s="196" t="s">
        <v>174</v>
      </c>
      <c r="D32" s="57"/>
      <c r="E32" s="77"/>
      <c r="F32" s="59">
        <v>4</v>
      </c>
      <c r="G32" s="65">
        <v>1</v>
      </c>
      <c r="H32" s="99">
        <f>F32/F30</f>
        <v>0.04</v>
      </c>
      <c r="I32" s="90" t="s">
        <v>155</v>
      </c>
      <c r="J32" s="91">
        <f>IF(I32="Líder de proyecto",Recursos!E$5,(IF(I32="Analista",Recursos!E$6,(IF(I32="Diseñador",Recursos!#REF!,(IF(I32="Tester",Recursos!E$7,(IF(I32="Desarrollador",Recursos!E$8,(IF(I32="Arquitecto",Recursos!E$12,(IF(I32="Aseguramiento de la calidad",Recursos!E$9,0)))))))))))))</f>
        <v>71.233484100877192</v>
      </c>
      <c r="K32" s="117">
        <f>F32*J32*G32</f>
        <v>284.93393640350877</v>
      </c>
    </row>
    <row r="33" spans="1:11" ht="15.75" x14ac:dyDescent="0.25">
      <c r="B33" s="63"/>
      <c r="C33" s="196" t="s">
        <v>187</v>
      </c>
      <c r="D33" s="57"/>
      <c r="E33" s="77"/>
      <c r="F33" s="59">
        <v>3</v>
      </c>
      <c r="G33" s="65">
        <v>1</v>
      </c>
      <c r="H33" s="99">
        <f>F33/F30</f>
        <v>0.03</v>
      </c>
      <c r="I33" s="90" t="s">
        <v>155</v>
      </c>
      <c r="J33" s="91">
        <f>IF(I33="Líder de proyecto",Recursos!E$5,(IF(I33="Analista",Recursos!E$6,(IF(I33="Diseñador",Recursos!#REF!,(IF(I33="Tester",Recursos!E$7,(IF(I33="Desarrollador",Recursos!E$8,(IF(I33="Arquitecto",Recursos!E$12,(IF(I33="Aseguramiento de la calidad",Recursos!E$9,0)))))))))))))</f>
        <v>71.233484100877192</v>
      </c>
      <c r="K33" s="117">
        <f t="shared" ref="K33:K35" si="3">F33*J33*G33</f>
        <v>213.70045230263156</v>
      </c>
    </row>
    <row r="34" spans="1:11" ht="15.75" x14ac:dyDescent="0.25">
      <c r="B34" s="63"/>
      <c r="C34" s="196" t="s">
        <v>175</v>
      </c>
      <c r="D34" s="57"/>
      <c r="E34" s="77"/>
      <c r="F34" s="59">
        <v>4</v>
      </c>
      <c r="G34" s="65">
        <v>1</v>
      </c>
      <c r="H34" s="99">
        <f>F34/F30</f>
        <v>0.04</v>
      </c>
      <c r="I34" s="90" t="s">
        <v>155</v>
      </c>
      <c r="J34" s="91">
        <f>IF(I34="Líder de proyecto",Recursos!E$5,(IF(I34="Analista",Recursos!E$6,(IF(I34="Diseñador",Recursos!#REF!,(IF(I34="Tester",Recursos!E$7,(IF(I34="Desarrollador",Recursos!E$8,(IF(I34="Arquitecto",Recursos!E$12,(IF(I34="Aseguramiento de la calidad",Recursos!E$9,0)))))))))))))</f>
        <v>71.233484100877192</v>
      </c>
      <c r="K34" s="117">
        <f t="shared" si="3"/>
        <v>284.93393640350877</v>
      </c>
    </row>
    <row r="35" spans="1:11" ht="15.75" x14ac:dyDescent="0.25">
      <c r="B35" s="63"/>
      <c r="C35" s="196" t="s">
        <v>188</v>
      </c>
      <c r="D35" s="57"/>
      <c r="E35" s="77"/>
      <c r="F35" s="59">
        <v>2</v>
      </c>
      <c r="G35" s="65">
        <v>1</v>
      </c>
      <c r="H35" s="99">
        <f>F35/F30</f>
        <v>0.02</v>
      </c>
      <c r="I35" s="90" t="s">
        <v>155</v>
      </c>
      <c r="J35" s="91">
        <f>IF(I35="Líder de proyecto",Recursos!E$5,(IF(I35="Analista",Recursos!E$6,(IF(I35="Diseñador",Recursos!#REF!,(IF(I35="Tester",Recursos!E$7,(IF(I35="Desarrollador",Recursos!E$8,(IF(I35="Arquitecto",Recursos!E$12,(IF(I35="Aseguramiento de la calidad",Recursos!E$9,0)))))))))))))</f>
        <v>71.233484100877192</v>
      </c>
      <c r="K35" s="117">
        <f t="shared" si="3"/>
        <v>142.46696820175438</v>
      </c>
    </row>
    <row r="36" spans="1:11" ht="15.75" x14ac:dyDescent="0.25">
      <c r="B36" s="63">
        <v>3.2</v>
      </c>
      <c r="C36" s="67" t="s">
        <v>164</v>
      </c>
      <c r="D36" s="68"/>
      <c r="E36" s="114">
        <f>(F36/F7)</f>
        <v>0.28761061946902655</v>
      </c>
      <c r="F36" s="82">
        <f>F37</f>
        <v>65</v>
      </c>
      <c r="G36" s="78"/>
      <c r="H36" s="70"/>
      <c r="I36" s="248" t="s">
        <v>120</v>
      </c>
      <c r="J36" s="249" t="s">
        <v>77</v>
      </c>
      <c r="K36" s="205">
        <f>SUM(K37:K37)</f>
        <v>4630.1764665570172</v>
      </c>
    </row>
    <row r="37" spans="1:11" ht="15.75" x14ac:dyDescent="0.25">
      <c r="B37" s="63"/>
      <c r="C37" s="56" t="s">
        <v>178</v>
      </c>
      <c r="D37" s="57"/>
      <c r="E37" s="112"/>
      <c r="F37" s="59">
        <v>65</v>
      </c>
      <c r="G37" s="65">
        <v>1</v>
      </c>
      <c r="H37" s="99">
        <f>F37/F30</f>
        <v>0.65</v>
      </c>
      <c r="I37" s="90" t="s">
        <v>169</v>
      </c>
      <c r="J37" s="91">
        <f>IF(I37="Líder de proyecto",Recursos!E$5,(IF(I37="Analista",Recursos!E$6,(IF(I37="Diseñador",Recursos!#REF!,(IF(I37="Tester",Recursos!E$7,(IF(I37="Desarrollador",Recursos!E$8,(IF(I37="Arquitecto",Recursos!E$12,(IF(I37="Aseguramiento de la calidad",Recursos!E$9,0)))))))))))))</f>
        <v>71.233484100877192</v>
      </c>
      <c r="K37" s="118">
        <f>F37*J37*G37</f>
        <v>4630.1764665570172</v>
      </c>
    </row>
    <row r="38" spans="1:11" ht="15.75" x14ac:dyDescent="0.25">
      <c r="B38" s="63">
        <v>3.3</v>
      </c>
      <c r="C38" s="67" t="s">
        <v>165</v>
      </c>
      <c r="D38" s="71"/>
      <c r="E38" s="114">
        <f>(F38/F7)</f>
        <v>6.1946902654867256E-2</v>
      </c>
      <c r="F38" s="102">
        <f>SUM(F39:F43)</f>
        <v>14</v>
      </c>
      <c r="G38" s="78"/>
      <c r="H38" s="70"/>
      <c r="I38" s="248" t="s">
        <v>121</v>
      </c>
      <c r="J38" s="249" t="s">
        <v>77</v>
      </c>
      <c r="K38" s="205">
        <f>SUM(K39:K43)</f>
        <v>906.67165570175428</v>
      </c>
    </row>
    <row r="39" spans="1:11" ht="15.75" x14ac:dyDescent="0.25">
      <c r="B39" s="63"/>
      <c r="C39" s="196" t="s">
        <v>159</v>
      </c>
      <c r="D39" s="58"/>
      <c r="E39" s="77"/>
      <c r="F39" s="59">
        <v>3</v>
      </c>
      <c r="G39" s="65">
        <v>1</v>
      </c>
      <c r="H39" s="99">
        <f>F39/F30</f>
        <v>0.03</v>
      </c>
      <c r="I39" s="90" t="s">
        <v>87</v>
      </c>
      <c r="J39" s="91">
        <f>IF(I39="Líder de proyecto",Recursos!E$5,(IF(I39="Analista",Recursos!E$6,(IF(I39="Diseñador",Recursos!#REF!,(IF(I39="Tester",Recursos!E$7,(IF(I39="Desarrollador",Recursos!E$8,(IF(I39="Arquitecto",Recursos!E$12,(IF(I39="Aseguramiento de la calidad",Recursos!E$9,0)))))))))))))</f>
        <v>62.997382127192978</v>
      </c>
      <c r="K39" s="117">
        <f>F39*J39*G39</f>
        <v>188.99214638157895</v>
      </c>
    </row>
    <row r="40" spans="1:11" ht="15.75" x14ac:dyDescent="0.25">
      <c r="B40" s="63"/>
      <c r="C40" s="196" t="s">
        <v>114</v>
      </c>
      <c r="D40" s="58"/>
      <c r="E40" s="77"/>
      <c r="F40" s="59">
        <v>3</v>
      </c>
      <c r="G40" s="65">
        <v>1</v>
      </c>
      <c r="H40" s="99">
        <f>F40/F30</f>
        <v>0.03</v>
      </c>
      <c r="I40" s="90" t="s">
        <v>87</v>
      </c>
      <c r="J40" s="91">
        <f>IF(I40="Líder de proyecto",Recursos!E$5,(IF(I40="Analista",Recursos!E$6,(IF(I40="Diseñador",Recursos!#REF!,(IF(I40="Tester",Recursos!E$7,(IF(I40="Desarrollador",Recursos!E$8,(IF(I40="Arquitecto",Recursos!E$12,(IF(I40="Aseguramiento de la calidad",Recursos!E$9,0)))))))))))))</f>
        <v>62.997382127192978</v>
      </c>
      <c r="K40" s="117">
        <f>F40*J40*G40</f>
        <v>188.99214638157895</v>
      </c>
    </row>
    <row r="41" spans="1:11" ht="15.75" x14ac:dyDescent="0.25">
      <c r="B41" s="63"/>
      <c r="C41" s="196" t="s">
        <v>157</v>
      </c>
      <c r="D41" s="58"/>
      <c r="E41" s="77"/>
      <c r="F41" s="59">
        <v>3</v>
      </c>
      <c r="G41" s="65">
        <v>1</v>
      </c>
      <c r="H41" s="99">
        <f>F41/F30</f>
        <v>0.03</v>
      </c>
      <c r="I41" s="90" t="s">
        <v>169</v>
      </c>
      <c r="J41" s="91">
        <f>IF(I41="Líder de proyecto",Recursos!E$5,(IF(I41="Analista",Recursos!E$6,(IF(I41="Diseñador",Recursos!#REF!,(IF(I41="Tester",Recursos!E$7,(IF(I41="Desarrollador",Recursos!E$8,(IF(I41="Arquitecto",Recursos!E$12,(IF(I41="Aseguramiento de la calidad",Recursos!E$9,0)))))))))))))</f>
        <v>71.233484100877192</v>
      </c>
      <c r="K41" s="117">
        <f>F41*J41*G41</f>
        <v>213.70045230263156</v>
      </c>
    </row>
    <row r="42" spans="1:11" ht="15.75" x14ac:dyDescent="0.25">
      <c r="B42" s="63"/>
      <c r="C42" s="196" t="s">
        <v>184</v>
      </c>
      <c r="D42" s="58"/>
      <c r="E42" s="77"/>
      <c r="F42" s="59">
        <v>4</v>
      </c>
      <c r="G42" s="65">
        <v>1</v>
      </c>
      <c r="H42" s="99">
        <f>F42/F30</f>
        <v>0.04</v>
      </c>
      <c r="I42" s="90" t="s">
        <v>87</v>
      </c>
      <c r="J42" s="91">
        <f>IF(I42="Líder de proyecto",Recursos!E$5,(IF(I42="Analista",Recursos!E$6,(IF(I42="Diseñador",Recursos!#REF!,(IF(I42="Tester",Recursos!E$7,(IF(I42="Desarrollador",Recursos!E$8,(IF(I42="Arquitecto",Recursos!E$12,(IF(I42="Aseguramiento de la calidad",Recursos!E$9,0)))))))))))))</f>
        <v>62.997382127192978</v>
      </c>
      <c r="K42" s="117">
        <f>F42*J42*G42</f>
        <v>251.98952850877191</v>
      </c>
    </row>
    <row r="43" spans="1:11" ht="15.75" x14ac:dyDescent="0.25">
      <c r="A43" s="206"/>
      <c r="B43" s="207"/>
      <c r="C43" s="196" t="s">
        <v>185</v>
      </c>
      <c r="D43" s="208"/>
      <c r="E43" s="77"/>
      <c r="F43" s="209">
        <v>1</v>
      </c>
      <c r="G43" s="210">
        <v>1</v>
      </c>
      <c r="H43" s="99">
        <f>F43/F30</f>
        <v>0.01</v>
      </c>
      <c r="I43" s="90" t="s">
        <v>87</v>
      </c>
      <c r="J43" s="91">
        <f>IF(I43="Líder de proyecto",Recursos!E$5,(IF(I43="Analista",Recursos!E$6,(IF(I43="Diseñador",Recursos!#REF!,(IF(I43="Tester",Recursos!E$7,(IF(I43="Desarrollador",Recursos!E$8,(IF(I43="Arquitecto",Recursos!E$12,(IF(I43="Aseguramiento de la calidad",Recursos!E$9,0)))))))))))))</f>
        <v>62.997382127192978</v>
      </c>
      <c r="K43" s="117">
        <f>F43*J43*G43</f>
        <v>62.997382127192978</v>
      </c>
    </row>
    <row r="44" spans="1:11" ht="15.75" x14ac:dyDescent="0.25">
      <c r="B44" s="63">
        <v>3.4</v>
      </c>
      <c r="C44" s="67" t="s">
        <v>166</v>
      </c>
      <c r="D44" s="69"/>
      <c r="E44" s="211">
        <f>(F44/F7)</f>
        <v>7.0796460176991149E-2</v>
      </c>
      <c r="F44" s="82">
        <f>SUM(F45:F46)</f>
        <v>16</v>
      </c>
      <c r="G44" s="78"/>
      <c r="H44" s="100"/>
      <c r="I44" s="248" t="s">
        <v>122</v>
      </c>
      <c r="J44" s="249" t="s">
        <v>77</v>
      </c>
      <c r="K44" s="205">
        <f>SUM(K45:K46)</f>
        <v>1073.8469298245614</v>
      </c>
    </row>
    <row r="45" spans="1:11" ht="15.75" x14ac:dyDescent="0.25">
      <c r="B45" s="63"/>
      <c r="C45" s="56" t="s">
        <v>160</v>
      </c>
      <c r="D45" s="55"/>
      <c r="E45" s="77"/>
      <c r="F45" s="59">
        <v>8</v>
      </c>
      <c r="G45" s="65">
        <v>1</v>
      </c>
      <c r="H45" s="99">
        <v>0.5</v>
      </c>
      <c r="I45" s="90" t="s">
        <v>155</v>
      </c>
      <c r="J45" s="91">
        <f>IF(I45="Líder de proyecto",Recursos!E$5,(IF(I45="Analista",Recursos!E$6,(IF(I45="Diseñador",Recursos!#REF!,(IF(I45="Tester",Recursos!E$7,(IF(I45="Desarrollador",Recursos!E$8,(IF(I45="Arquitecto",Recursos!E$12,(IF(I45="Aseguramiento de la calidad",Recursos!E$9,0)))))))))))))</f>
        <v>71.233484100877192</v>
      </c>
      <c r="K45" s="117">
        <f>F45*J45*G45</f>
        <v>569.86787280701753</v>
      </c>
    </row>
    <row r="46" spans="1:11" ht="15.75" x14ac:dyDescent="0.25">
      <c r="B46" s="63"/>
      <c r="C46" s="56" t="s">
        <v>161</v>
      </c>
      <c r="D46" s="55"/>
      <c r="E46" s="77"/>
      <c r="F46" s="59">
        <v>8</v>
      </c>
      <c r="G46" s="65">
        <v>1</v>
      </c>
      <c r="H46" s="99">
        <v>0.5</v>
      </c>
      <c r="I46" s="90" t="s">
        <v>86</v>
      </c>
      <c r="J46" s="91">
        <f>IF(I46="Líder de proyecto",Recursos!E$5,(IF(I46="Analista",Recursos!E$6,(IF(I46="Diseñador",Recursos!#REF!,(IF(I46="Tester",Recursos!E$7,(IF(I46="Desarrollador",Recursos!E$8,(IF(I46="Arquitecto",Recursos!E$12,(IF(I46="Aseguramiento de la calidad",Recursos!E$9,0)))))))))))))</f>
        <v>62.997382127192978</v>
      </c>
      <c r="K46" s="117">
        <f>F46*J46*G46</f>
        <v>503.97905701754382</v>
      </c>
    </row>
    <row r="47" spans="1:11" ht="15.75" x14ac:dyDescent="0.25">
      <c r="B47" s="145">
        <v>4</v>
      </c>
      <c r="C47" s="146" t="s">
        <v>105</v>
      </c>
      <c r="D47" s="147"/>
      <c r="E47" s="152">
        <f>(F47/F7)</f>
        <v>3.5398230088495575E-2</v>
      </c>
      <c r="F47" s="149">
        <f>F48+F49</f>
        <v>8</v>
      </c>
      <c r="G47" s="150"/>
      <c r="H47" s="151"/>
      <c r="I47" s="237" t="s">
        <v>123</v>
      </c>
      <c r="J47" s="238" t="s">
        <v>77</v>
      </c>
      <c r="K47" s="203">
        <f>SUM(K48:K49)</f>
        <v>569.86787280701753</v>
      </c>
    </row>
    <row r="48" spans="1:11" ht="15.75" x14ac:dyDescent="0.25">
      <c r="B48" s="55" t="s">
        <v>77</v>
      </c>
      <c r="C48" s="196" t="s">
        <v>176</v>
      </c>
      <c r="D48" s="55"/>
      <c r="E48" s="200"/>
      <c r="F48" s="59">
        <v>4</v>
      </c>
      <c r="G48" s="61">
        <v>1</v>
      </c>
      <c r="H48" s="101">
        <v>1</v>
      </c>
      <c r="I48" s="90" t="s">
        <v>85</v>
      </c>
      <c r="J48" s="91">
        <f>IF(I48="Líder de proyecto",Recursos!E$5,(IF(I48="Analista",Recursos!E$6,(IF(I48="Diseñador",Recursos!#REF!,(IF(I48="Tester",Recursos!E$7,(IF(I48="Desarrollador",Recursos!E$8,(IF(I48="Arquitecto",Recursos!E$12,(IF(I48="Aseguramiento de la calidad",Recursos!E$9,0)))))))))))))</f>
        <v>71.233484100877192</v>
      </c>
      <c r="K48" s="117">
        <f>F48*J48*G48</f>
        <v>284.93393640350877</v>
      </c>
    </row>
    <row r="49" spans="1:12" ht="15.75" x14ac:dyDescent="0.25">
      <c r="B49" s="55"/>
      <c r="C49" s="196" t="s">
        <v>177</v>
      </c>
      <c r="D49" s="55"/>
      <c r="E49" s="200"/>
      <c r="F49" s="59">
        <v>4</v>
      </c>
      <c r="G49" s="61">
        <v>1</v>
      </c>
      <c r="H49" s="101">
        <v>1</v>
      </c>
      <c r="I49" s="90" t="s">
        <v>85</v>
      </c>
      <c r="J49" s="91">
        <f>IF(I49="Líder de proyecto",Recursos!E$5,(IF(I49="Analista",Recursos!E$6,(IF(I49="Diseñador",Recursos!#REF!,(IF(I49="Tester",Recursos!E$7,(IF(I49="Desarrollador",Recursos!E$8,(IF(I49="Arquitecto",Recursos!E$12,(IF(I49="Aseguramiento de la calidad",Recursos!E$9,0)))))))))))))</f>
        <v>71.233484100877192</v>
      </c>
      <c r="K49" s="117">
        <f>F49*J49*G49</f>
        <v>284.93393640350877</v>
      </c>
    </row>
    <row r="50" spans="1:12" ht="15.75" x14ac:dyDescent="0.25">
      <c r="B50" s="145">
        <v>5</v>
      </c>
      <c r="C50" s="146" t="s">
        <v>131</v>
      </c>
      <c r="D50" s="147"/>
      <c r="E50" s="148">
        <f>(F50/F7)</f>
        <v>0.19026548672566371</v>
      </c>
      <c r="F50" s="149">
        <f>SUM(F51:F54)</f>
        <v>43</v>
      </c>
      <c r="G50" s="150"/>
      <c r="H50" s="151"/>
      <c r="I50" s="237" t="s">
        <v>132</v>
      </c>
      <c r="J50" s="238" t="s">
        <v>77</v>
      </c>
      <c r="K50" s="203">
        <f>SUM(K51:K54)</f>
        <v>2087.3903508771932</v>
      </c>
    </row>
    <row r="51" spans="1:12" ht="15.75" x14ac:dyDescent="0.25">
      <c r="B51" s="72"/>
      <c r="C51" s="123" t="s">
        <v>106</v>
      </c>
      <c r="D51" s="124"/>
      <c r="E51" s="77"/>
      <c r="F51" s="126">
        <v>13</v>
      </c>
      <c r="G51" s="127">
        <v>1</v>
      </c>
      <c r="H51" s="132">
        <f>(F51/F50)</f>
        <v>0.30232558139534882</v>
      </c>
      <c r="I51" s="90" t="s">
        <v>171</v>
      </c>
      <c r="J51" s="91">
        <f>IF(I51="Líder de proyecto",Recursos!E$5,(IF(I51="Analista",Recursos!E$6,(IF(I51="Administrador de la configuración",Recursos!E$11,(IF(I51="Tester",Recursos!E$7,(IF(I51="Desarrollador",Recursos!E$8,(IF(I51="Arquitecto",Recursos!E$12,(IF(I51="Aseguramiento de la calidad",Recursos!E$9,0)))))))))))))</f>
        <v>43.3577850877193</v>
      </c>
      <c r="K51" s="128">
        <f>F51*J51*G51</f>
        <v>563.65120614035095</v>
      </c>
    </row>
    <row r="52" spans="1:12" ht="15.75" x14ac:dyDescent="0.25">
      <c r="B52" s="63" t="s">
        <v>77</v>
      </c>
      <c r="C52" s="123" t="s">
        <v>124</v>
      </c>
      <c r="D52" s="124"/>
      <c r="E52" s="77"/>
      <c r="F52" s="126">
        <v>22</v>
      </c>
      <c r="G52" s="127">
        <v>1</v>
      </c>
      <c r="H52" s="132">
        <f>(F52/F50)</f>
        <v>0.51162790697674421</v>
      </c>
      <c r="I52" s="90" t="s">
        <v>170</v>
      </c>
      <c r="J52" s="91">
        <f>IF(I52="Líder de proyecto",Recursos!E$5,(IF(I52="Analista",Recursos!E$6,(IF(I52="Administrador de la configuración",Recursos!E$11,(IF(I52="Tester",Recursos!E$7,(IF(I52="Desarrollador",Recursos!E$8,(IF(I52="Arquitecto",Recursos!E$12,(IF(I52="Aseguramiento de la calidad",Recursos!E$9,0)))))))))))))</f>
        <v>43.3577850877193</v>
      </c>
      <c r="K52" s="128">
        <f>F52*J52*G52</f>
        <v>953.87127192982462</v>
      </c>
    </row>
    <row r="53" spans="1:12" ht="15.75" x14ac:dyDescent="0.25">
      <c r="B53" s="63" t="s">
        <v>77</v>
      </c>
      <c r="C53" s="123" t="s">
        <v>127</v>
      </c>
      <c r="D53" s="124"/>
      <c r="E53" s="77"/>
      <c r="F53" s="126">
        <v>4</v>
      </c>
      <c r="G53" s="127">
        <v>1</v>
      </c>
      <c r="H53" s="132">
        <f>(F53/F50)</f>
        <v>9.3023255813953487E-2</v>
      </c>
      <c r="I53" s="90" t="s">
        <v>85</v>
      </c>
      <c r="J53" s="91">
        <f>IF(I53="Líder de proyecto",Recursos!E$5,(IF(I53="Analista",Recursos!E$6,(IF(I53="Administrador de la configuración",Recursos!E$11,(IF(I53="Tester",Recursos!E$7,(IF(I53="Desarrollador",Recursos!E$8,(IF(I53="Arquitecto",Recursos!E$12,(IF(I53="Aseguramiento de la calidad",Recursos!E$9,0)))))))))))))</f>
        <v>71.233484100877192</v>
      </c>
      <c r="K53" s="128">
        <f>F53*J53*G53</f>
        <v>284.93393640350877</v>
      </c>
    </row>
    <row r="54" spans="1:12" ht="15.75" x14ac:dyDescent="0.25">
      <c r="B54" s="113" t="s">
        <v>77</v>
      </c>
      <c r="C54" s="125" t="s">
        <v>8</v>
      </c>
      <c r="D54" s="124"/>
      <c r="E54" s="77"/>
      <c r="F54" s="126">
        <v>4</v>
      </c>
      <c r="G54" s="129">
        <v>1</v>
      </c>
      <c r="H54" s="132">
        <f>(F54/F50)</f>
        <v>9.3023255813953487E-2</v>
      </c>
      <c r="I54" s="90" t="s">
        <v>85</v>
      </c>
      <c r="J54" s="91">
        <f>IF(I54="Líder de proyecto",Recursos!E$5,(IF(I54="Analista",Recursos!E$6,(IF(I54="Administrador de la configuración",Recursos!E$11,(IF(I54="Tester",Recursos!E$7,(IF(I54="Desarrollador",Recursos!E$8,(IF(I54="Arquitecto",Recursos!E$12,(IF(I54="Aseguramiento de la calidad",Recursos!E$9,0)))))))))))))</f>
        <v>71.233484100877192</v>
      </c>
      <c r="K54" s="128">
        <f>F54*J54*G54</f>
        <v>284.93393640350877</v>
      </c>
      <c r="L54" s="90"/>
    </row>
    <row r="55" spans="1:12" ht="63" customHeight="1" x14ac:dyDescent="0.25">
      <c r="A55" s="15"/>
      <c r="B55" s="137">
        <v>6</v>
      </c>
      <c r="C55" s="138" t="s">
        <v>150</v>
      </c>
      <c r="D55" s="139"/>
      <c r="E55" s="140"/>
      <c r="F55" s="141">
        <v>6</v>
      </c>
      <c r="G55" s="142">
        <v>1</v>
      </c>
      <c r="H55" s="143" t="s">
        <v>77</v>
      </c>
      <c r="I55" s="237" t="s">
        <v>151</v>
      </c>
      <c r="J55" s="238"/>
      <c r="K55" s="144">
        <v>0</v>
      </c>
    </row>
    <row r="56" spans="1:12" ht="21" x14ac:dyDescent="0.25">
      <c r="B56" s="5"/>
      <c r="C56" s="6"/>
      <c r="D56" s="6"/>
      <c r="E56" s="98"/>
      <c r="F56" s="5" t="s">
        <v>77</v>
      </c>
      <c r="G56" s="5"/>
      <c r="H56" s="5"/>
      <c r="I56" s="239" t="s">
        <v>115</v>
      </c>
      <c r="J56" s="239"/>
      <c r="K56" s="83">
        <f>SUM(K50+K47+K30+K16+K9+K55)</f>
        <v>15289.41681743421</v>
      </c>
    </row>
    <row r="57" spans="1:12" ht="21" x14ac:dyDescent="0.35">
      <c r="B57" s="136"/>
      <c r="C57" s="64"/>
      <c r="D57" s="25"/>
      <c r="I57" s="161" t="s">
        <v>144</v>
      </c>
      <c r="J57" s="162"/>
      <c r="K57" s="163">
        <f>(200*F7)-K56</f>
        <v>29910.583182565788</v>
      </c>
    </row>
    <row r="58" spans="1:12" ht="21" x14ac:dyDescent="0.35">
      <c r="C58" s="64"/>
      <c r="D58" s="25"/>
      <c r="I58" s="158" t="s">
        <v>143</v>
      </c>
      <c r="J58" s="159"/>
      <c r="K58" s="160" t="s">
        <v>77</v>
      </c>
    </row>
    <row r="59" spans="1:12" ht="21" x14ac:dyDescent="0.35">
      <c r="C59" s="64"/>
      <c r="D59" s="25"/>
      <c r="I59" s="158"/>
      <c r="J59" s="159"/>
      <c r="K59" s="160">
        <v>0</v>
      </c>
    </row>
    <row r="60" spans="1:12" ht="21" x14ac:dyDescent="0.35">
      <c r="C60" s="64"/>
      <c r="D60" s="25"/>
      <c r="I60" s="158"/>
      <c r="J60" s="159"/>
      <c r="K60" s="160">
        <v>0</v>
      </c>
    </row>
    <row r="61" spans="1:12" ht="21" x14ac:dyDescent="0.35">
      <c r="C61" s="64"/>
      <c r="D61" s="25"/>
      <c r="I61" s="158"/>
      <c r="J61" s="159"/>
      <c r="K61" s="160">
        <v>0</v>
      </c>
    </row>
    <row r="62" spans="1:12" ht="21" x14ac:dyDescent="0.35">
      <c r="C62" s="64"/>
      <c r="D62" s="25"/>
      <c r="I62" s="158"/>
      <c r="J62" s="159"/>
      <c r="K62" s="160">
        <v>0</v>
      </c>
    </row>
    <row r="63" spans="1:12" ht="21" x14ac:dyDescent="0.35">
      <c r="C63" s="64"/>
      <c r="D63" s="25"/>
      <c r="I63" s="96" t="s">
        <v>140</v>
      </c>
      <c r="J63" s="96" t="s">
        <v>141</v>
      </c>
      <c r="K63" s="97">
        <f>SUM(K56:K62)</f>
        <v>45200</v>
      </c>
    </row>
    <row r="64" spans="1:12" ht="21" customHeight="1" x14ac:dyDescent="0.25">
      <c r="C64" s="240"/>
      <c r="D64" s="240"/>
      <c r="I64" s="212" t="s">
        <v>77</v>
      </c>
      <c r="J64" s="1" t="s">
        <v>130</v>
      </c>
      <c r="K64" s="1">
        <v>1.1599999999999999</v>
      </c>
    </row>
    <row r="65" spans="9:11" ht="21" x14ac:dyDescent="0.35">
      <c r="I65" s="96" t="s">
        <v>140</v>
      </c>
      <c r="J65" s="96" t="s">
        <v>142</v>
      </c>
      <c r="K65" s="93">
        <f>K63*K64</f>
        <v>52432</v>
      </c>
    </row>
    <row r="66" spans="9:11" x14ac:dyDescent="0.25">
      <c r="I66" s="62"/>
    </row>
    <row r="94" spans="2:2" x14ac:dyDescent="0.25">
      <c r="B94" s="133"/>
    </row>
  </sheetData>
  <mergeCells count="15">
    <mergeCell ref="I47:J47"/>
    <mergeCell ref="I50:J50"/>
    <mergeCell ref="I56:J56"/>
    <mergeCell ref="C64:D64"/>
    <mergeCell ref="B6:K6"/>
    <mergeCell ref="I55:J55"/>
    <mergeCell ref="I9:J9"/>
    <mergeCell ref="I16:J16"/>
    <mergeCell ref="I25:J25"/>
    <mergeCell ref="I30:J30"/>
    <mergeCell ref="I36:J36"/>
    <mergeCell ref="I38:J38"/>
    <mergeCell ref="I17:J17"/>
    <mergeCell ref="I31:J31"/>
    <mergeCell ref="I44:J44"/>
  </mergeCells>
  <phoneticPr fontId="0" type="noConversion"/>
  <dataValidations count="3">
    <dataValidation type="whole" allowBlank="1" showInputMessage="1" showErrorMessage="1" sqref="G51:G55 G45:G46 G37 G26:G29 G10:G15 G19:G24 G32:G35 G48:G49 G39:G43">
      <formula1>1</formula1>
      <formula2>10</formula2>
    </dataValidation>
    <dataValidation type="list" allowBlank="1" showInputMessage="1" showErrorMessage="1" sqref="I52:I54 I10:I15 I18:I24 I26:I29 I37 I45:I46 I39:I43 I32:I35 I48:I49">
      <formula1>"Líder de proyecto, Analista, Arquitecto, Tester, Desarrollador, Aseguramiento de la calidad"</formula1>
    </dataValidation>
    <dataValidation type="list" allowBlank="1" showInputMessage="1" showErrorMessage="1" sqref="I51">
      <formula1>"Líder de proyecto, Analista, Arquitecto, Tester, Desarrollador,Administrador de la configuración, Aseguramiento de la calidad"</formula1>
    </dataValidation>
  </dataValidations>
  <pageMargins left="0.78740157480314965" right="0.78740157480314965" top="0.39370078740157483" bottom="0.39370078740157483" header="0" footer="0"/>
  <pageSetup paperSize="9"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7"/>
  <sheetViews>
    <sheetView tabSelected="1" topLeftCell="B1" workbookViewId="0">
      <selection activeCell="D15" sqref="D15"/>
    </sheetView>
  </sheetViews>
  <sheetFormatPr baseColWidth="10" defaultRowHeight="12.75" x14ac:dyDescent="0.2"/>
  <cols>
    <col min="2" max="2" width="28.85546875" bestFit="1" customWidth="1"/>
    <col min="3" max="3" width="14.85546875" bestFit="1" customWidth="1"/>
    <col min="4" max="4" width="18" bestFit="1" customWidth="1"/>
    <col min="5" max="5" width="22.42578125" bestFit="1" customWidth="1"/>
  </cols>
  <sheetData>
    <row r="2" spans="2:5" x14ac:dyDescent="0.2">
      <c r="C2" t="s">
        <v>77</v>
      </c>
    </row>
    <row r="3" spans="2:5" ht="13.5" thickBot="1" x14ac:dyDescent="0.25"/>
    <row r="4" spans="2:5" x14ac:dyDescent="0.2">
      <c r="B4" s="164" t="s">
        <v>84</v>
      </c>
      <c r="C4" s="164" t="s">
        <v>89</v>
      </c>
      <c r="D4" s="164" t="s">
        <v>90</v>
      </c>
      <c r="E4" s="165" t="s">
        <v>91</v>
      </c>
    </row>
    <row r="5" spans="2:5" x14ac:dyDescent="0.2">
      <c r="B5" s="121" t="s">
        <v>85</v>
      </c>
      <c r="C5" s="84">
        <v>11788.65</v>
      </c>
      <c r="D5" s="84">
        <f>C5/30.4/8</f>
        <v>48.473067434210527</v>
      </c>
      <c r="E5" s="85">
        <f t="shared" ref="E5:E12" si="0">SUM(D5+E$27)</f>
        <v>71.233484100877192</v>
      </c>
    </row>
    <row r="6" spans="2:5" x14ac:dyDescent="0.2">
      <c r="B6" s="121" t="s">
        <v>86</v>
      </c>
      <c r="C6" s="84">
        <v>9785.6299999999992</v>
      </c>
      <c r="D6" s="84">
        <f t="shared" ref="D6:D12" si="1">C6/30.4/8</f>
        <v>40.236965460526314</v>
      </c>
      <c r="E6" s="85">
        <f t="shared" si="0"/>
        <v>62.997382127192978</v>
      </c>
    </row>
    <row r="7" spans="2:5" x14ac:dyDescent="0.2">
      <c r="B7" s="121" t="s">
        <v>87</v>
      </c>
      <c r="C7" s="84">
        <v>9785.6299999999992</v>
      </c>
      <c r="D7" s="84">
        <f t="shared" si="1"/>
        <v>40.236965460526314</v>
      </c>
      <c r="E7" s="85">
        <f t="shared" si="0"/>
        <v>62.997382127192978</v>
      </c>
    </row>
    <row r="8" spans="2:5" x14ac:dyDescent="0.2">
      <c r="B8" s="134" t="s">
        <v>169</v>
      </c>
      <c r="C8" s="84">
        <v>11788.65</v>
      </c>
      <c r="D8" s="84">
        <f t="shared" si="1"/>
        <v>48.473067434210527</v>
      </c>
      <c r="E8" s="85">
        <f t="shared" si="0"/>
        <v>71.233484100877192</v>
      </c>
    </row>
    <row r="9" spans="2:5" x14ac:dyDescent="0.2">
      <c r="B9" s="134" t="s">
        <v>170</v>
      </c>
      <c r="C9" s="84">
        <v>5009.28</v>
      </c>
      <c r="D9" s="84">
        <f t="shared" si="1"/>
        <v>20.597368421052632</v>
      </c>
      <c r="E9" s="85">
        <f t="shared" si="0"/>
        <v>43.3577850877193</v>
      </c>
    </row>
    <row r="10" spans="2:5" x14ac:dyDescent="0.2">
      <c r="B10" s="121" t="s">
        <v>88</v>
      </c>
      <c r="C10" s="84">
        <v>9176.4599999999991</v>
      </c>
      <c r="D10" s="84">
        <f t="shared" si="1"/>
        <v>37.732154605263155</v>
      </c>
      <c r="E10" s="85">
        <f t="shared" si="0"/>
        <v>60.492571271929819</v>
      </c>
    </row>
    <row r="11" spans="2:5" x14ac:dyDescent="0.2">
      <c r="B11" s="134" t="s">
        <v>171</v>
      </c>
      <c r="C11" s="84">
        <v>5009.28</v>
      </c>
      <c r="D11" s="84">
        <f t="shared" ref="D11" si="2">C11/30.4/8</f>
        <v>20.597368421052632</v>
      </c>
      <c r="E11" s="85">
        <f t="shared" si="0"/>
        <v>43.3577850877193</v>
      </c>
    </row>
    <row r="12" spans="2:5" ht="13.5" thickBot="1" x14ac:dyDescent="0.25">
      <c r="B12" s="122" t="s">
        <v>155</v>
      </c>
      <c r="C12" s="84">
        <v>11788.65</v>
      </c>
      <c r="D12" s="119">
        <f t="shared" si="1"/>
        <v>48.473067434210527</v>
      </c>
      <c r="E12" s="120">
        <f t="shared" si="0"/>
        <v>71.233484100877192</v>
      </c>
    </row>
    <row r="14" spans="2:5" ht="13.5" thickBot="1" x14ac:dyDescent="0.25"/>
    <row r="15" spans="2:5" ht="13.5" thickBot="1" x14ac:dyDescent="0.25">
      <c r="B15" s="166" t="s">
        <v>92</v>
      </c>
      <c r="C15" s="75" t="s">
        <v>83</v>
      </c>
    </row>
    <row r="16" spans="2:5" x14ac:dyDescent="0.2">
      <c r="B16" s="74" t="s">
        <v>93</v>
      </c>
      <c r="C16" s="85">
        <v>2800</v>
      </c>
    </row>
    <row r="17" spans="2:5" x14ac:dyDescent="0.2">
      <c r="B17" s="74" t="s">
        <v>94</v>
      </c>
      <c r="C17" s="85">
        <v>1600</v>
      </c>
    </row>
    <row r="18" spans="2:5" x14ac:dyDescent="0.2">
      <c r="B18" s="74" t="s">
        <v>125</v>
      </c>
      <c r="C18" s="85">
        <v>1700</v>
      </c>
    </row>
    <row r="19" spans="2:5" x14ac:dyDescent="0.2">
      <c r="B19" s="74" t="s">
        <v>95</v>
      </c>
      <c r="C19" s="85">
        <v>12000</v>
      </c>
    </row>
    <row r="20" spans="2:5" x14ac:dyDescent="0.2">
      <c r="B20" s="74" t="s">
        <v>96</v>
      </c>
      <c r="C20" s="85">
        <v>1750</v>
      </c>
    </row>
    <row r="21" spans="2:5" x14ac:dyDescent="0.2">
      <c r="B21" s="74" t="s">
        <v>97</v>
      </c>
      <c r="C21" s="85">
        <v>200</v>
      </c>
    </row>
    <row r="22" spans="2:5" ht="13.5" thickBot="1" x14ac:dyDescent="0.25">
      <c r="B22" s="74" t="s">
        <v>126</v>
      </c>
      <c r="C22" s="85">
        <v>1800</v>
      </c>
    </row>
    <row r="23" spans="2:5" ht="13.5" thickBot="1" x14ac:dyDescent="0.25">
      <c r="B23" s="76" t="s">
        <v>98</v>
      </c>
      <c r="C23" s="86">
        <f>SUM(C16:C22)</f>
        <v>21850</v>
      </c>
    </row>
    <row r="26" spans="2:5" ht="13.5" thickBot="1" x14ac:dyDescent="0.25"/>
    <row r="27" spans="2:5" ht="13.5" thickBot="1" x14ac:dyDescent="0.25">
      <c r="B27" s="167" t="s">
        <v>99</v>
      </c>
      <c r="C27" s="73">
        <v>4</v>
      </c>
      <c r="D27" s="167" t="s">
        <v>100</v>
      </c>
      <c r="E27" s="87">
        <f>((C23/C27)/30/8)</f>
        <v>22.760416666666668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Resources:CType_PWS_Document(1)" ma:contentTypeID="0x0101008A98423170284BEEB635F43C3CF4E98B001A4A1163653B6846ADC5D60A25EBD429" ma:contentTypeVersion="0" ma:contentTypeDescription="" ma:contentTypeScope="" ma:versionID="e2271a139a2b8ee801614f6b11c48dd3">
  <xsd:schema xmlns:xsd="http://www.w3.org/2001/XMLSchema" xmlns:p="http://schemas.microsoft.com/office/2006/metadata/properties" xmlns:ns2="035E5738-9077-49AA-867C-265905AEBD06" targetNamespace="http://schemas.microsoft.com/office/2006/metadata/properties" ma:root="true" ma:fieldsID="7346a5ed0265b509ea77989a5de5de18" ns2:_="">
    <xsd:import namespace="035E5738-9077-49AA-867C-265905AEBD06"/>
    <xsd:element name="properties">
      <xsd:complexType>
        <xsd:sequence>
          <xsd:element name="documentManagement">
            <xsd:complexType>
              <xsd:all>
                <xsd:element ref="ns2:Owner" minOccurs="0"/>
                <xsd:element ref="ns2:Status" minOccurs="0"/>
              </xsd:all>
            </xsd:complexType>
          </xsd:element>
        </xsd:sequence>
      </xsd:complexType>
    </xsd:element>
  </xsd:schema>
  <xsd:schema xmlns:xsd="http://www.w3.org/2001/XMLSchema" xmlns:dms="http://schemas.microsoft.com/office/2006/documentManagement/types" targetNamespace="035E5738-9077-49AA-867C-265905AEBD06" elementFormDefault="qualified">
    <xsd:import namespace="http://schemas.microsoft.com/office/2006/documentManagement/types"/>
    <xsd:element name="Owner" ma:index="8" nillable="true" ma:displayName="Propietario"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Estado" ma:default="Borrador" ma:internalName="Status">
      <xsd:simpleType>
        <xsd:restriction base="dms:Choice">
          <xsd:enumeration value="Borrador"/>
          <xsd:enumeration value="Listo para revisión"/>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Status xmlns="035E5738-9077-49AA-867C-265905AEBD06">Final</Status>
    <Owner xmlns="035E5738-9077-49AA-867C-265905AEBD06">
      <UserInfo>
        <DisplayName/>
        <AccountId xsi:nil="true"/>
        <AccountType/>
      </UserInfo>
    </Owner>
  </documentManagement>
</p:properties>
</file>

<file path=customXml/itemProps1.xml><?xml version="1.0" encoding="utf-8"?>
<ds:datastoreItem xmlns:ds="http://schemas.openxmlformats.org/officeDocument/2006/customXml" ds:itemID="{F8B212FF-E148-4D8E-AE09-6003AD42D4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E5738-9077-49AA-867C-265905AEBD06"/>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31A9657-F60B-4F85-99EC-12093FFD5B62}">
  <ds:schemaRefs>
    <ds:schemaRef ds:uri="http://schemas.microsoft.com/office/2006/metadata/longProperties"/>
  </ds:schemaRefs>
</ds:datastoreItem>
</file>

<file path=customXml/itemProps3.xml><?xml version="1.0" encoding="utf-8"?>
<ds:datastoreItem xmlns:ds="http://schemas.openxmlformats.org/officeDocument/2006/customXml" ds:itemID="{A2CCC30F-9541-4791-B45A-F1653D3E0DD1}">
  <ds:schemaRefs>
    <ds:schemaRef ds:uri="http://schemas.microsoft.com/sharepoint/v3/contenttype/forms"/>
  </ds:schemaRefs>
</ds:datastoreItem>
</file>

<file path=customXml/itemProps4.xml><?xml version="1.0" encoding="utf-8"?>
<ds:datastoreItem xmlns:ds="http://schemas.openxmlformats.org/officeDocument/2006/customXml" ds:itemID="{41BF059D-5B27-49EC-990E-9B2C61BF22F9}">
  <ds:schemaRefs>
    <ds:schemaRef ds:uri="http://purl.org/dc/dcmitype/"/>
    <ds:schemaRef ds:uri="http://purl.org/dc/term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035E5738-9077-49AA-867C-265905AEBD06"/>
    <ds:schemaRef ds:uri="http://www.w3.org/XML/1998/namespac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Instrucciones</vt:lpstr>
      <vt:lpstr>Factor de complejidad Téc y Amb</vt:lpstr>
      <vt:lpstr>Estimación de Tamaño UCP</vt:lpstr>
      <vt:lpstr>Estimación de Esfuerzo</vt:lpstr>
      <vt:lpstr>Recursos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Moreno</dc:creator>
  <cp:lastModifiedBy>Ing. Carlos Glez</cp:lastModifiedBy>
  <cp:lastPrinted>2007-09-19T15:25:33Z</cp:lastPrinted>
  <dcterms:created xsi:type="dcterms:W3CDTF">2001-07-30T17:19:04Z</dcterms:created>
  <dcterms:modified xsi:type="dcterms:W3CDTF">2015-07-17T23:44:32Z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dDocumentEventProcessedId">
    <vt:lpwstr>05099eef-2cc9-44f2-a8eb-cad65db9572a</vt:lpwstr>
  </property>
  <property fmtid="{D5CDD505-2E9C-101B-9397-08002B2CF9AE}" pid="3" name="ContentType">
    <vt:lpwstr>$Resources:CType_PWS_Document(1)</vt:lpwstr>
  </property>
</Properties>
</file>