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CARLOS\Desktop\"/>
    </mc:Choice>
  </mc:AlternateContent>
  <xr:revisionPtr revIDLastSave="0" documentId="13_ncr:1_{1F991F02-1510-4E09-8639-391153304590}" xr6:coauthVersionLast="34" xr6:coauthVersionMax="34" xr10:uidLastSave="{00000000-0000-0000-0000-000000000000}"/>
  <bookViews>
    <workbookView xWindow="0" yWindow="0" windowWidth="20490" windowHeight="7080" tabRatio="668" firstSheet="2" activeTab="2" xr2:uid="{00000000-000D-0000-FFFF-FFFF00000000}"/>
  </bookViews>
  <sheets>
    <sheet name="MENSUAL 2018 ZT" sheetId="12" r:id="rId1"/>
    <sheet name="ACUMULADO 2018 ZT" sheetId="13" r:id="rId2"/>
    <sheet name="RESULTADO META VS REAL" sheetId="9" r:id="rId3"/>
    <sheet name="CONFIABILIDAD MENSUAL 2018" sheetId="8" r:id="rId4"/>
    <sheet name="SAIDI POR CIRCUITO vs MANTTO" sheetId="11" r:id="rId5"/>
    <sheet name="SAIDI POR CAUSA" sheetId="10" r:id="rId6"/>
    <sheet name="RAMALES POR CAUSA-NI-SAIDI-TPR" sheetId="7" r:id="rId7"/>
    <sheet name="BASE DE DATOS" sheetId="3" r:id="rId8"/>
  </sheets>
  <externalReferences>
    <externalReference r:id="rId9"/>
    <externalReference r:id="rId10"/>
  </externalReferences>
  <definedNames>
    <definedName name="_xlnm._FilterDatabase" localSheetId="7" hidden="1">'BASE DE DATOS'!$A$2:$AM$245</definedName>
    <definedName name="_xlnm._FilterDatabase" localSheetId="4" hidden="1">'SAIDI POR CIRCUITO vs MANTTO'!#REF!</definedName>
  </definedNames>
  <calcPr calcId="179021"/>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78" i="9" l="1"/>
  <c r="M78" i="9"/>
  <c r="L78" i="9"/>
  <c r="J78" i="9"/>
  <c r="I78" i="9"/>
  <c r="H78" i="9"/>
  <c r="M74" i="9"/>
  <c r="L74" i="9"/>
  <c r="K74" i="9"/>
  <c r="I74" i="9"/>
  <c r="H74" i="9"/>
  <c r="N116" i="9"/>
  <c r="M116" i="9"/>
  <c r="L116" i="9"/>
  <c r="C116" i="9"/>
  <c r="C114" i="9"/>
  <c r="O113" i="9"/>
  <c r="O112" i="9"/>
  <c r="O111" i="9"/>
  <c r="O110" i="9"/>
  <c r="O109" i="9"/>
  <c r="O108" i="9"/>
  <c r="O107" i="9"/>
  <c r="O106" i="9"/>
  <c r="N105" i="9"/>
  <c r="M105" i="9"/>
  <c r="L105" i="9"/>
  <c r="K105" i="9"/>
  <c r="J105" i="9"/>
  <c r="I105" i="9"/>
  <c r="H105" i="9"/>
  <c r="C105" i="9"/>
  <c r="O104" i="9"/>
  <c r="N103" i="9"/>
  <c r="M103" i="9"/>
  <c r="L103" i="9"/>
  <c r="K103" i="9"/>
  <c r="J103" i="9"/>
  <c r="I103" i="9"/>
  <c r="H103" i="9"/>
  <c r="D102" i="9"/>
  <c r="E102" i="9" s="1"/>
  <c r="F102" i="9" s="1"/>
  <c r="G102" i="9" s="1"/>
  <c r="H102" i="9" s="1"/>
  <c r="I102" i="9" s="1"/>
  <c r="J102" i="9" s="1"/>
  <c r="K102" i="9" s="1"/>
  <c r="N101" i="9"/>
  <c r="M101" i="9"/>
  <c r="L101" i="9"/>
  <c r="K101" i="9"/>
  <c r="J101" i="9"/>
  <c r="I101" i="9"/>
  <c r="H101" i="9"/>
  <c r="D100" i="9"/>
  <c r="E100" i="9" s="1"/>
  <c r="F100" i="9" s="1"/>
  <c r="G100" i="9" s="1"/>
  <c r="H100" i="9" s="1"/>
  <c r="I100" i="9" s="1"/>
  <c r="J100" i="9" s="1"/>
  <c r="K100" i="9" s="1"/>
  <c r="N99" i="9"/>
  <c r="M99" i="9"/>
  <c r="L99" i="9"/>
  <c r="K99" i="9"/>
  <c r="J99" i="9"/>
  <c r="I99" i="9"/>
  <c r="H99" i="9"/>
  <c r="O98" i="9"/>
  <c r="N97" i="9"/>
  <c r="N117" i="9" s="1"/>
  <c r="M97" i="9"/>
  <c r="L97" i="9"/>
  <c r="K97" i="9"/>
  <c r="J97" i="9"/>
  <c r="J117" i="9" s="1"/>
  <c r="I97" i="9"/>
  <c r="H97" i="9"/>
  <c r="D96" i="9"/>
  <c r="D116" i="9" s="1"/>
  <c r="N82" i="9"/>
  <c r="M82" i="9"/>
  <c r="N80" i="9"/>
  <c r="M80" i="9"/>
  <c r="L80" i="9"/>
  <c r="K80" i="9"/>
  <c r="J80" i="9"/>
  <c r="I80" i="9"/>
  <c r="K78" i="9"/>
  <c r="N76" i="9"/>
  <c r="M76" i="9"/>
  <c r="L76" i="9"/>
  <c r="K76" i="9"/>
  <c r="J76" i="9"/>
  <c r="I76" i="9"/>
  <c r="N74" i="9"/>
  <c r="J74" i="9"/>
  <c r="D103" i="9"/>
  <c r="F105" i="9"/>
  <c r="D105" i="9"/>
  <c r="E103" i="9"/>
  <c r="G103" i="9"/>
  <c r="G105" i="9"/>
  <c r="G99" i="9"/>
  <c r="C101" i="9"/>
  <c r="C97" i="9"/>
  <c r="F97" i="9"/>
  <c r="G101" i="9"/>
  <c r="E101" i="9"/>
  <c r="D97" i="9"/>
  <c r="F101" i="9"/>
  <c r="E99" i="9"/>
  <c r="F103" i="9"/>
  <c r="C103" i="9"/>
  <c r="C99" i="9"/>
  <c r="F99" i="9"/>
  <c r="D99" i="9"/>
  <c r="D101" i="9"/>
  <c r="G97" i="9"/>
  <c r="E97" i="9"/>
  <c r="E105" i="9"/>
  <c r="H117" i="9" l="1"/>
  <c r="L117" i="9"/>
  <c r="I117" i="9"/>
  <c r="K117" i="9"/>
  <c r="O100" i="9"/>
  <c r="M117" i="9"/>
  <c r="O105" i="9"/>
  <c r="O103" i="9"/>
  <c r="O101" i="9"/>
  <c r="O99" i="9"/>
  <c r="G117" i="9"/>
  <c r="F117" i="9"/>
  <c r="E117" i="9"/>
  <c r="C117" i="9"/>
  <c r="O102" i="9"/>
  <c r="D117" i="9"/>
  <c r="O97" i="9"/>
  <c r="E96" i="9"/>
  <c r="C115" i="9"/>
  <c r="D115" i="9" s="1"/>
  <c r="E115" i="9" s="1"/>
  <c r="F115" i="9" s="1"/>
  <c r="G115" i="9" s="1"/>
  <c r="H115" i="9" s="1"/>
  <c r="I115" i="9" s="1"/>
  <c r="J115" i="9" s="1"/>
  <c r="K115" i="9" s="1"/>
  <c r="L115" i="9" s="1"/>
  <c r="M115" i="9" s="1"/>
  <c r="N115" i="9" s="1"/>
  <c r="D114" i="9"/>
  <c r="O117" i="9" l="1"/>
  <c r="F96" i="9"/>
  <c r="E116" i="9"/>
  <c r="E114" i="9"/>
  <c r="F116" i="9" l="1"/>
  <c r="F114" i="9"/>
  <c r="G96" i="9"/>
  <c r="G116" i="9" l="1"/>
  <c r="G114" i="9"/>
  <c r="H96" i="9"/>
  <c r="H116" i="9" l="1"/>
  <c r="H114" i="9"/>
  <c r="I96" i="9"/>
  <c r="J96" i="9" l="1"/>
  <c r="I116" i="9"/>
  <c r="I114" i="9"/>
  <c r="J116" i="9" l="1"/>
  <c r="J114" i="9"/>
  <c r="K96" i="9"/>
  <c r="O96" i="9" s="1"/>
  <c r="O116" i="9" s="1"/>
  <c r="K116" i="9" l="1"/>
  <c r="K114" i="9"/>
  <c r="L114" i="9" s="1"/>
  <c r="M114" i="9" s="1"/>
  <c r="N114" i="9" s="1"/>
  <c r="N52" i="9" l="1"/>
  <c r="M52" i="9"/>
  <c r="L52" i="9"/>
  <c r="K52" i="9"/>
  <c r="J52" i="9"/>
  <c r="I52" i="9"/>
  <c r="H52" i="9"/>
  <c r="N51" i="9"/>
  <c r="M51" i="9"/>
  <c r="L51" i="9"/>
  <c r="K51" i="9"/>
  <c r="J51" i="9"/>
  <c r="I51" i="9"/>
  <c r="H51" i="9"/>
  <c r="G51" i="9"/>
  <c r="F51" i="9"/>
  <c r="E51" i="9"/>
  <c r="D51" i="9"/>
  <c r="C51" i="9"/>
  <c r="C49" i="9"/>
  <c r="D49" i="9" s="1"/>
  <c r="E49" i="9" s="1"/>
  <c r="F49" i="9" s="1"/>
  <c r="G49" i="9" s="1"/>
  <c r="H49" i="9" s="1"/>
  <c r="I49" i="9" s="1"/>
  <c r="J49" i="9" s="1"/>
  <c r="K49" i="9" s="1"/>
  <c r="L49" i="9" s="1"/>
  <c r="M49" i="9" s="1"/>
  <c r="N49" i="9" s="1"/>
  <c r="O48" i="9"/>
  <c r="O47" i="9"/>
  <c r="O46" i="9"/>
  <c r="O45" i="9"/>
  <c r="O44" i="9"/>
  <c r="O43" i="9"/>
  <c r="O42" i="9"/>
  <c r="O41" i="9"/>
  <c r="O39" i="9"/>
  <c r="O37" i="9"/>
  <c r="O35" i="9"/>
  <c r="O33" i="9"/>
  <c r="O31" i="9"/>
  <c r="N25" i="9"/>
  <c r="M25" i="9"/>
  <c r="L25" i="9"/>
  <c r="K25" i="9"/>
  <c r="J25" i="9"/>
  <c r="I25" i="9"/>
  <c r="H25" i="9"/>
  <c r="N24" i="9"/>
  <c r="M24" i="9"/>
  <c r="L24" i="9"/>
  <c r="K24" i="9"/>
  <c r="J24" i="9"/>
  <c r="I24" i="9"/>
  <c r="H24" i="9"/>
  <c r="G24" i="9"/>
  <c r="F24" i="9"/>
  <c r="E24" i="9"/>
  <c r="D24" i="9"/>
  <c r="C24" i="9"/>
  <c r="C22" i="9"/>
  <c r="D22" i="9" s="1"/>
  <c r="E22" i="9" s="1"/>
  <c r="F22" i="9" s="1"/>
  <c r="G22" i="9" s="1"/>
  <c r="H22" i="9" s="1"/>
  <c r="I22" i="9" s="1"/>
  <c r="J22" i="9" s="1"/>
  <c r="K22" i="9" s="1"/>
  <c r="L22" i="9" s="1"/>
  <c r="M22" i="9" s="1"/>
  <c r="N22" i="9" s="1"/>
  <c r="O21" i="9"/>
  <c r="O20" i="9"/>
  <c r="O19" i="9"/>
  <c r="O18" i="9"/>
  <c r="O17" i="9"/>
  <c r="O16" i="9"/>
  <c r="O15" i="9"/>
  <c r="O14" i="9"/>
  <c r="O12" i="9"/>
  <c r="O10" i="9"/>
  <c r="O8" i="9"/>
  <c r="O6" i="9"/>
  <c r="O4" i="9"/>
  <c r="C11" i="9"/>
  <c r="I14" i="8"/>
  <c r="G9" i="9"/>
  <c r="F13" i="9"/>
  <c r="I11" i="8"/>
  <c r="I17" i="8"/>
  <c r="E13" i="9"/>
  <c r="I9" i="8"/>
  <c r="I18" i="8"/>
  <c r="E5" i="9"/>
  <c r="D5" i="9"/>
  <c r="I26" i="8"/>
  <c r="I5" i="8"/>
  <c r="G7" i="9"/>
  <c r="C5" i="9"/>
  <c r="I19" i="8"/>
  <c r="I20" i="8"/>
  <c r="C9" i="9"/>
  <c r="D9" i="9"/>
  <c r="I23" i="8"/>
  <c r="D7" i="9"/>
  <c r="I10" i="8"/>
  <c r="E11" i="9"/>
  <c r="G11" i="9"/>
  <c r="F9" i="9"/>
  <c r="E7" i="9"/>
  <c r="I27" i="8"/>
  <c r="L29" i="8"/>
  <c r="I15" i="8"/>
  <c r="I24" i="8"/>
  <c r="G5" i="9"/>
  <c r="G13" i="9"/>
  <c r="I12" i="8"/>
  <c r="F5" i="9"/>
  <c r="E9" i="9"/>
  <c r="D11" i="9"/>
  <c r="D13" i="9"/>
  <c r="I21" i="8"/>
  <c r="I7" i="8"/>
  <c r="I16" i="8"/>
  <c r="I6" i="8"/>
  <c r="I25" i="8"/>
  <c r="I4" i="8"/>
  <c r="F11" i="9"/>
  <c r="I29" i="8"/>
  <c r="I22" i="8"/>
  <c r="I13" i="8"/>
  <c r="C7" i="9"/>
  <c r="I8" i="8"/>
  <c r="F7" i="9"/>
  <c r="D34" i="9" l="1"/>
  <c r="G36" i="9"/>
  <c r="F40" i="9"/>
  <c r="C32" i="9"/>
  <c r="G32" i="9"/>
  <c r="F34" i="9"/>
  <c r="E36" i="9"/>
  <c r="D38" i="9"/>
  <c r="D40" i="9"/>
  <c r="E32" i="9"/>
  <c r="C36" i="9"/>
  <c r="F38" i="9"/>
  <c r="F32" i="9"/>
  <c r="E34" i="9"/>
  <c r="D36" i="9"/>
  <c r="C38" i="9"/>
  <c r="G38" i="9"/>
  <c r="G40" i="9"/>
  <c r="D32" i="9"/>
  <c r="C34" i="9"/>
  <c r="O34" i="9" s="1"/>
  <c r="G34" i="9"/>
  <c r="F36" i="9"/>
  <c r="E38" i="9"/>
  <c r="E40" i="9"/>
  <c r="O51" i="9"/>
  <c r="O5" i="9"/>
  <c r="O24" i="9"/>
  <c r="O13" i="9"/>
  <c r="O11" i="9"/>
  <c r="O9" i="9"/>
  <c r="O7" i="9"/>
  <c r="E25" i="9"/>
  <c r="D25" i="9"/>
  <c r="C23" i="9"/>
  <c r="D23" i="9" s="1"/>
  <c r="E23" i="9" s="1"/>
  <c r="C25" i="9"/>
  <c r="O38" i="9" l="1"/>
  <c r="O32" i="9"/>
  <c r="C52" i="9"/>
  <c r="C50" i="9"/>
  <c r="D50" i="9" s="1"/>
  <c r="E50" i="9" s="1"/>
  <c r="F50" i="9" s="1"/>
  <c r="G50" i="9" s="1"/>
  <c r="H50" i="9" s="1"/>
  <c r="I50" i="9" s="1"/>
  <c r="J50" i="9" s="1"/>
  <c r="K50" i="9" s="1"/>
  <c r="L50" i="9" s="1"/>
  <c r="M50" i="9" s="1"/>
  <c r="N50" i="9" s="1"/>
  <c r="D52" i="9"/>
  <c r="O36" i="9"/>
  <c r="E52" i="9"/>
  <c r="F52" i="9"/>
  <c r="O40" i="9"/>
  <c r="G52" i="9"/>
  <c r="F25" i="9"/>
  <c r="F23" i="9"/>
  <c r="O52" i="9" l="1"/>
  <c r="G25" i="9"/>
  <c r="G23" i="9"/>
  <c r="H23" i="9" s="1"/>
  <c r="I23" i="9" s="1"/>
  <c r="J23" i="9" s="1"/>
  <c r="K23" i="9" s="1"/>
  <c r="L23" i="9" s="1"/>
  <c r="M23" i="9" s="1"/>
  <c r="N23" i="9" s="1"/>
  <c r="O25" i="9"/>
  <c r="P238" i="3" l="1"/>
  <c r="H82" i="9" l="1"/>
  <c r="AB238" i="3"/>
  <c r="Y238" i="3"/>
  <c r="X238" i="3"/>
  <c r="L24" i="8"/>
  <c r="J10" i="8"/>
  <c r="K269" i="7"/>
  <c r="K207" i="7"/>
  <c r="M124" i="7"/>
  <c r="K16" i="7"/>
  <c r="L214" i="7"/>
  <c r="M16" i="7"/>
  <c r="L23" i="8"/>
  <c r="J9" i="8"/>
  <c r="K264" i="7"/>
  <c r="M207" i="7"/>
  <c r="K127" i="7"/>
  <c r="K14" i="7"/>
  <c r="K15" i="8"/>
  <c r="M291" i="7"/>
  <c r="J232" i="7"/>
  <c r="K168" i="7"/>
  <c r="K189" i="7"/>
  <c r="L269" i="7"/>
  <c r="K98" i="7"/>
  <c r="K260" i="7"/>
  <c r="K39" i="7"/>
  <c r="J19" i="8"/>
  <c r="L124" i="7"/>
  <c r="K160" i="7"/>
  <c r="L72" i="7"/>
  <c r="J211" i="7"/>
  <c r="K96" i="7"/>
  <c r="J80" i="7"/>
  <c r="K13" i="8"/>
  <c r="M286" i="7"/>
  <c r="J228" i="7"/>
  <c r="J170" i="7"/>
  <c r="M69" i="7"/>
  <c r="L236" i="7"/>
  <c r="L14" i="7"/>
  <c r="L212" i="7"/>
  <c r="K12" i="8"/>
  <c r="L8" i="8"/>
  <c r="K302" i="7"/>
  <c r="K251" i="7"/>
  <c r="K187" i="7"/>
  <c r="M101" i="7"/>
  <c r="L187" i="7"/>
  <c r="L291" i="7"/>
  <c r="L143" i="7"/>
  <c r="L7" i="8"/>
  <c r="K301" i="7"/>
  <c r="K249" i="7"/>
  <c r="K185" i="7"/>
  <c r="M100" i="7"/>
  <c r="L170" i="7"/>
  <c r="J24" i="8"/>
  <c r="K280" i="7"/>
  <c r="J225" i="7"/>
  <c r="L9" i="8"/>
  <c r="K126" i="7"/>
  <c r="L192" i="7"/>
  <c r="L76" i="7"/>
  <c r="K199" i="7"/>
  <c r="M17" i="7"/>
  <c r="J247" i="7"/>
  <c r="K6" i="8"/>
  <c r="J106" i="7"/>
  <c r="L127" i="7"/>
  <c r="L211" i="7"/>
  <c r="L56" i="7"/>
  <c r="L312" i="7"/>
  <c r="J22" i="8"/>
  <c r="K275" i="7"/>
  <c r="J216" i="7"/>
  <c r="K144" i="7"/>
  <c r="J53" i="7"/>
  <c r="M46" i="7"/>
  <c r="L185" i="7"/>
  <c r="J163" i="7"/>
  <c r="J21" i="8"/>
  <c r="K273" i="7"/>
  <c r="J214" i="7"/>
  <c r="K143" i="7"/>
  <c r="J52" i="7"/>
  <c r="K27" i="8"/>
  <c r="J302" i="7"/>
  <c r="J249" i="7"/>
  <c r="J189" i="7"/>
  <c r="K230" i="7"/>
  <c r="L260" i="7"/>
  <c r="M192" i="7"/>
  <c r="K297" i="7"/>
  <c r="M72" i="7"/>
  <c r="K50" i="7"/>
  <c r="K9" i="8"/>
  <c r="K286" i="7"/>
  <c r="M225" i="7"/>
  <c r="M157" i="7"/>
  <c r="J76" i="7"/>
  <c r="L194" i="7"/>
  <c r="L171" i="7"/>
  <c r="L160" i="7"/>
  <c r="K8" i="8"/>
  <c r="K285" i="7"/>
  <c r="M222" i="7"/>
  <c r="M152" i="7"/>
  <c r="J72" i="7"/>
  <c r="L14" i="8"/>
  <c r="K308" i="7"/>
  <c r="M251" i="7"/>
  <c r="M185" i="7"/>
  <c r="M279" i="7"/>
  <c r="M52" i="7"/>
  <c r="K290" i="7"/>
  <c r="K14" i="8"/>
  <c r="K120" i="7"/>
  <c r="L16" i="7"/>
  <c r="J81" i="7"/>
  <c r="M126" i="7"/>
  <c r="K5" i="8"/>
  <c r="J286" i="7"/>
  <c r="K226" i="7"/>
  <c r="K157" i="7"/>
  <c r="K66" i="7"/>
  <c r="L126" i="7"/>
  <c r="L279" i="7"/>
  <c r="L80" i="7"/>
  <c r="K4" i="8"/>
  <c r="J285" i="7"/>
  <c r="K225" i="7"/>
  <c r="K152" i="7"/>
  <c r="J66" i="7"/>
  <c r="L10" i="8"/>
  <c r="J307" i="7"/>
  <c r="K255" i="7"/>
  <c r="K192" i="7"/>
  <c r="K270" i="7"/>
  <c r="J46" i="7"/>
  <c r="J262" i="7"/>
  <c r="J23" i="8"/>
  <c r="M96" i="7"/>
  <c r="L290" i="7"/>
  <c r="J56" i="7"/>
  <c r="M230" i="7"/>
  <c r="L301" i="7"/>
  <c r="L182" i="7"/>
  <c r="J143" i="7"/>
  <c r="K17" i="7"/>
  <c r="K17" i="8"/>
  <c r="M294" i="7"/>
  <c r="J236" i="7"/>
  <c r="K171" i="7"/>
  <c r="M81" i="7"/>
  <c r="L297" i="7"/>
  <c r="L98" i="7"/>
  <c r="L262" i="7"/>
  <c r="K16" i="8"/>
  <c r="M293" i="7"/>
  <c r="J235" i="7"/>
  <c r="K170" i="7"/>
  <c r="M80" i="7"/>
  <c r="L22" i="8"/>
  <c r="J8" i="8"/>
  <c r="K262" i="7"/>
  <c r="M199" i="7"/>
  <c r="J305" i="7"/>
  <c r="M76" i="7"/>
  <c r="L66" i="7"/>
  <c r="J157" i="7"/>
  <c r="J16" i="7"/>
  <c r="J152" i="7"/>
  <c r="K247" i="7"/>
  <c r="M226" i="7"/>
  <c r="J96" i="7"/>
  <c r="K31" i="7"/>
  <c r="L195" i="7"/>
  <c r="M211" i="7"/>
  <c r="L4" i="8"/>
  <c r="J254" i="7"/>
  <c r="K101" i="7"/>
  <c r="L273" i="7"/>
  <c r="K29" i="8"/>
  <c r="J269" i="7"/>
  <c r="J192" i="7"/>
  <c r="K76" i="7"/>
  <c r="K11" i="8"/>
  <c r="J280" i="7"/>
  <c r="M194" i="7"/>
  <c r="M168" i="7"/>
  <c r="L50" i="7"/>
  <c r="L5" i="8"/>
  <c r="M5" i="7"/>
  <c r="L16" i="8"/>
  <c r="J298" i="7"/>
  <c r="J209" i="7"/>
  <c r="M113" i="7"/>
  <c r="L39" i="7"/>
  <c r="L106" i="7"/>
  <c r="L15" i="8"/>
  <c r="J297" i="7"/>
  <c r="J207" i="7"/>
  <c r="M106" i="7"/>
  <c r="L5" i="7"/>
  <c r="J294" i="7"/>
  <c r="M216" i="7"/>
  <c r="J27" i="8"/>
  <c r="L157" i="7"/>
  <c r="K52" i="7"/>
  <c r="J171" i="7"/>
  <c r="K26" i="8"/>
  <c r="L13" i="8"/>
  <c r="K21" i="8"/>
  <c r="M264" i="7"/>
  <c r="K195" i="7"/>
  <c r="K81" i="7"/>
  <c r="L264" i="7"/>
  <c r="L207" i="7"/>
  <c r="K20" i="8"/>
  <c r="M262" i="7"/>
  <c r="K194" i="7"/>
  <c r="K80" i="7"/>
  <c r="K19" i="8"/>
  <c r="M280" i="7"/>
  <c r="K211" i="7"/>
  <c r="K209" i="7"/>
  <c r="L293" i="7"/>
  <c r="K5" i="7"/>
  <c r="K53" i="7"/>
  <c r="J279" i="7"/>
  <c r="J293" i="7"/>
  <c r="L209" i="7"/>
  <c r="J113" i="7"/>
  <c r="M182" i="7"/>
  <c r="J127" i="7"/>
  <c r="M195" i="7"/>
  <c r="K291" i="7"/>
  <c r="L168" i="7"/>
  <c r="M307" i="7"/>
  <c r="L285" i="7"/>
  <c r="M305" i="7"/>
  <c r="L270" i="7"/>
  <c r="M232" i="7"/>
  <c r="M98" i="7"/>
  <c r="L152" i="7"/>
  <c r="L12" i="8"/>
  <c r="L53" i="7"/>
  <c r="M301" i="7"/>
  <c r="K106" i="7"/>
  <c r="K222" i="7"/>
  <c r="M50" i="7"/>
  <c r="L308" i="7"/>
  <c r="K22" i="8"/>
  <c r="M308" i="7"/>
  <c r="J26" i="8"/>
  <c r="M56" i="7"/>
  <c r="J25" i="8"/>
  <c r="M53" i="7"/>
  <c r="K182" i="7"/>
  <c r="L21" i="8"/>
  <c r="L275" i="7"/>
  <c r="J290" i="7"/>
  <c r="L235" i="7"/>
  <c r="L232" i="7"/>
  <c r="J6" i="8"/>
  <c r="J199" i="7"/>
  <c r="L144" i="7"/>
  <c r="L307" i="7"/>
  <c r="J5" i="8"/>
  <c r="J251" i="7"/>
  <c r="J168" i="7"/>
  <c r="L286" i="7"/>
  <c r="J20" i="8"/>
  <c r="J264" i="7"/>
  <c r="M163" i="7"/>
  <c r="J120" i="7"/>
  <c r="L17" i="8"/>
  <c r="J255" i="7"/>
  <c r="L46" i="7"/>
  <c r="K25" i="8"/>
  <c r="J275" i="7"/>
  <c r="M189" i="7"/>
  <c r="J101" i="7"/>
  <c r="L298" i="7"/>
  <c r="L254" i="7"/>
  <c r="K24" i="8"/>
  <c r="J273" i="7"/>
  <c r="M187" i="7"/>
  <c r="J100" i="7"/>
  <c r="K23" i="8"/>
  <c r="J291" i="7"/>
  <c r="M212" i="7"/>
  <c r="K216" i="7"/>
  <c r="J5" i="7"/>
  <c r="M14" i="7"/>
  <c r="M66" i="7"/>
  <c r="J301" i="7"/>
  <c r="K307" i="7"/>
  <c r="J14" i="8"/>
  <c r="M249" i="7"/>
  <c r="M177" i="7"/>
  <c r="J39" i="7"/>
  <c r="J17" i="7"/>
  <c r="L294" i="7"/>
  <c r="J13" i="8"/>
  <c r="M247" i="7"/>
  <c r="M171" i="7"/>
  <c r="J31" i="7"/>
  <c r="J29" i="8"/>
  <c r="M260" i="7"/>
  <c r="M170" i="7"/>
  <c r="J135" i="7"/>
  <c r="L199" i="7"/>
  <c r="K279" i="7"/>
  <c r="L132" i="7"/>
  <c r="J144" i="7"/>
  <c r="K177" i="7"/>
  <c r="L100" i="7"/>
  <c r="J15" i="8"/>
  <c r="L20" i="8"/>
  <c r="K100" i="7"/>
  <c r="J212" i="7"/>
  <c r="L17" i="7"/>
  <c r="L120" i="7"/>
  <c r="M135" i="7"/>
  <c r="M144" i="7"/>
  <c r="K135" i="7"/>
  <c r="K163" i="7"/>
  <c r="J230" i="7"/>
  <c r="L302" i="7"/>
  <c r="M209" i="7"/>
  <c r="L31" i="7"/>
  <c r="K212" i="7"/>
  <c r="L26" i="8"/>
  <c r="J11" i="8"/>
  <c r="M143" i="7"/>
  <c r="K69" i="7"/>
  <c r="L249" i="7"/>
  <c r="M275" i="7"/>
  <c r="L52" i="7"/>
  <c r="M273" i="7"/>
  <c r="L6" i="8"/>
  <c r="K254" i="7"/>
  <c r="J7" i="8"/>
  <c r="L189" i="7"/>
  <c r="M214" i="7"/>
  <c r="L255" i="7"/>
  <c r="L251" i="7"/>
  <c r="K294" i="7"/>
  <c r="J194" i="7"/>
  <c r="L113" i="7"/>
  <c r="L69" i="7"/>
  <c r="K293" i="7"/>
  <c r="K228" i="7"/>
  <c r="J126" i="7"/>
  <c r="L96" i="7"/>
  <c r="J4" i="8"/>
  <c r="M228" i="7"/>
  <c r="K18" i="8"/>
  <c r="J69" i="7"/>
  <c r="K72" i="7"/>
  <c r="J195" i="7"/>
  <c r="L135" i="7"/>
  <c r="J18" i="8"/>
  <c r="J260" i="7"/>
  <c r="J185" i="7"/>
  <c r="J50" i="7"/>
  <c r="L81" i="7"/>
  <c r="M39" i="7"/>
  <c r="J17" i="8"/>
  <c r="M254" i="7"/>
  <c r="J182" i="7"/>
  <c r="K46" i="7"/>
  <c r="K7" i="8"/>
  <c r="M270" i="7"/>
  <c r="J177" i="7"/>
  <c r="J160" i="7"/>
  <c r="L305" i="7"/>
  <c r="M290" i="7"/>
  <c r="L247" i="7"/>
  <c r="J187" i="7"/>
  <c r="L226" i="7"/>
  <c r="K305" i="7"/>
  <c r="K236" i="7"/>
  <c r="J132" i="7"/>
  <c r="L230" i="7"/>
  <c r="L177" i="7"/>
  <c r="L27" i="8"/>
  <c r="J308" i="7"/>
  <c r="K235" i="7"/>
  <c r="M132" i="7"/>
  <c r="L222" i="7"/>
  <c r="J12" i="8"/>
  <c r="K232" i="7"/>
  <c r="L25" i="8"/>
  <c r="J98" i="7"/>
  <c r="J124" i="7"/>
  <c r="J222" i="7"/>
  <c r="J14" i="7"/>
  <c r="L101" i="7"/>
  <c r="M120" i="7"/>
  <c r="L216" i="7"/>
  <c r="L280" i="7"/>
  <c r="K214" i="7"/>
  <c r="L228" i="7"/>
  <c r="J226" i="7"/>
  <c r="K298" i="7"/>
  <c r="M31" i="7"/>
  <c r="K132" i="7"/>
  <c r="M127" i="7"/>
  <c r="K56" i="7"/>
  <c r="M269" i="7"/>
  <c r="J270" i="7"/>
  <c r="L163" i="7"/>
  <c r="L19" i="8"/>
  <c r="M285" i="7"/>
  <c r="L18" i="8"/>
  <c r="M297" i="7"/>
  <c r="K124" i="7"/>
  <c r="M236" i="7"/>
  <c r="L225" i="7"/>
  <c r="M235" i="7"/>
  <c r="J16" i="8"/>
  <c r="M160" i="7"/>
  <c r="M302" i="7"/>
  <c r="K113" i="7"/>
  <c r="L11" i="8"/>
  <c r="M298" i="7"/>
  <c r="K10" i="8"/>
  <c r="D63" i="9" l="1"/>
  <c r="E74" i="9"/>
  <c r="F80" i="9"/>
  <c r="G125" i="9"/>
  <c r="H80" i="9" s="1"/>
  <c r="C65" i="9"/>
  <c r="D76" i="9"/>
  <c r="F82" i="9"/>
  <c r="F59" i="9"/>
  <c r="G65" i="9"/>
  <c r="C78" i="9"/>
  <c r="D123" i="9"/>
  <c r="E129" i="9"/>
  <c r="F127" i="9"/>
  <c r="E61" i="9"/>
  <c r="G67" i="9"/>
  <c r="G78" i="9"/>
  <c r="C125" i="9"/>
  <c r="E131" i="9"/>
  <c r="C59" i="9"/>
  <c r="G59" i="9"/>
  <c r="F61" i="9"/>
  <c r="E63" i="9"/>
  <c r="D65" i="9"/>
  <c r="D67" i="9"/>
  <c r="F74" i="9"/>
  <c r="E76" i="9"/>
  <c r="D78" i="9"/>
  <c r="C80" i="9"/>
  <c r="G80" i="9"/>
  <c r="G82" i="9"/>
  <c r="E123" i="9"/>
  <c r="D125" i="9"/>
  <c r="C127" i="9"/>
  <c r="G127" i="9"/>
  <c r="F129" i="9"/>
  <c r="F131" i="9"/>
  <c r="D59" i="9"/>
  <c r="C61" i="9"/>
  <c r="G61" i="9"/>
  <c r="F63" i="9"/>
  <c r="E65" i="9"/>
  <c r="E67" i="9"/>
  <c r="C74" i="9"/>
  <c r="G74" i="9"/>
  <c r="F76" i="9"/>
  <c r="E78" i="9"/>
  <c r="D80" i="9"/>
  <c r="D82" i="9"/>
  <c r="F123" i="9"/>
  <c r="E125" i="9"/>
  <c r="D127" i="9"/>
  <c r="C129" i="9"/>
  <c r="G129" i="9"/>
  <c r="G131" i="9"/>
  <c r="E59" i="9"/>
  <c r="D61" i="9"/>
  <c r="C63" i="9"/>
  <c r="G63" i="9"/>
  <c r="F65" i="9"/>
  <c r="F67" i="9"/>
  <c r="D74" i="9"/>
  <c r="C76" i="9"/>
  <c r="G76" i="9"/>
  <c r="F78" i="9"/>
  <c r="E80" i="9"/>
  <c r="E82" i="9"/>
  <c r="C123" i="9"/>
  <c r="G123" i="9"/>
  <c r="F125" i="9"/>
  <c r="E127" i="9"/>
  <c r="D129" i="9"/>
  <c r="D131" i="9"/>
  <c r="I82" i="9"/>
  <c r="X35" i="13"/>
  <c r="W35" i="13"/>
  <c r="X34" i="13"/>
  <c r="W34" i="13"/>
  <c r="X33" i="13"/>
  <c r="W33" i="13"/>
  <c r="X32" i="13"/>
  <c r="W32" i="13"/>
  <c r="X31" i="13"/>
  <c r="W31" i="13"/>
  <c r="X30" i="13"/>
  <c r="W30" i="13"/>
  <c r="X29" i="13"/>
  <c r="W29" i="13"/>
  <c r="X28" i="13"/>
  <c r="W28" i="13"/>
  <c r="X27" i="13"/>
  <c r="W27" i="13"/>
  <c r="X26" i="13"/>
  <c r="W26" i="13"/>
  <c r="X25" i="13"/>
  <c r="W25" i="13"/>
  <c r="X24" i="13"/>
  <c r="W24" i="13"/>
  <c r="D19" i="13"/>
  <c r="E19" i="13" s="1"/>
  <c r="F19" i="13" s="1"/>
  <c r="G19" i="13" s="1"/>
  <c r="D18" i="13"/>
  <c r="E18" i="13" s="1"/>
  <c r="F18" i="13" s="1"/>
  <c r="G18" i="13" s="1"/>
  <c r="H18" i="13" s="1"/>
  <c r="I18" i="13" s="1"/>
  <c r="J18" i="13" s="1"/>
  <c r="K18" i="13" s="1"/>
  <c r="L18" i="13" s="1"/>
  <c r="M18" i="13" s="1"/>
  <c r="N18" i="13" s="1"/>
  <c r="D17" i="13"/>
  <c r="E17" i="13" s="1"/>
  <c r="F17" i="13" s="1"/>
  <c r="G17" i="13" s="1"/>
  <c r="H17" i="13" s="1"/>
  <c r="I17" i="13" s="1"/>
  <c r="J17" i="13" s="1"/>
  <c r="K17" i="13" s="1"/>
  <c r="L17" i="13" s="1"/>
  <c r="M17" i="13" s="1"/>
  <c r="N17" i="13" s="1"/>
  <c r="P10" i="13"/>
  <c r="O10" i="13"/>
  <c r="M10" i="13"/>
  <c r="N9" i="13"/>
  <c r="J9" i="13"/>
  <c r="I9" i="13"/>
  <c r="N8" i="13"/>
  <c r="N7" i="13"/>
  <c r="N6" i="13"/>
  <c r="N5" i="13"/>
  <c r="W34" i="12"/>
  <c r="V34" i="12"/>
  <c r="W33" i="12"/>
  <c r="V33" i="12"/>
  <c r="W32" i="12"/>
  <c r="V32" i="12"/>
  <c r="W31" i="12"/>
  <c r="V31" i="12"/>
  <c r="W30" i="12"/>
  <c r="V30" i="12"/>
  <c r="W29" i="12"/>
  <c r="V29" i="12"/>
  <c r="W28" i="12"/>
  <c r="V28" i="12"/>
  <c r="W27" i="12"/>
  <c r="V27" i="12"/>
  <c r="W26" i="12"/>
  <c r="V26" i="12"/>
  <c r="W25" i="12"/>
  <c r="V25" i="12"/>
  <c r="W24" i="12"/>
  <c r="V24" i="12"/>
  <c r="W23" i="12"/>
  <c r="V23" i="12"/>
  <c r="M10" i="12"/>
  <c r="N9" i="12"/>
  <c r="J9" i="12"/>
  <c r="I9" i="12"/>
  <c r="N8" i="12"/>
  <c r="N7" i="12"/>
  <c r="N6" i="12"/>
  <c r="N5" i="12"/>
  <c r="J82" i="9" l="1"/>
  <c r="L82" i="9" l="1"/>
  <c r="K82" i="9"/>
  <c r="AB241" i="3" l="1"/>
  <c r="H76" i="9" l="1"/>
  <c r="AB245" i="3"/>
  <c r="AB240" i="3" l="1"/>
  <c r="AB243" i="3"/>
  <c r="AB242" i="3" l="1"/>
  <c r="AB244" i="3"/>
</calcChain>
</file>

<file path=xl/sharedStrings.xml><?xml version="1.0" encoding="utf-8"?>
<sst xmlns="http://schemas.openxmlformats.org/spreadsheetml/2006/main" count="6289" uniqueCount="1077">
  <si>
    <t>ZONA TUXTLA</t>
  </si>
  <si>
    <t>Zona</t>
  </si>
  <si>
    <t>Mes</t>
  </si>
  <si>
    <t>Area</t>
  </si>
  <si>
    <t>Circuito</t>
  </si>
  <si>
    <t>Ramal</t>
  </si>
  <si>
    <t>Causa</t>
  </si>
  <si>
    <t>DK</t>
  </si>
  <si>
    <t>04</t>
  </si>
  <si>
    <t>I</t>
  </si>
  <si>
    <t>*</t>
  </si>
  <si>
    <t>D-228</t>
  </si>
  <si>
    <t>D-145</t>
  </si>
  <si>
    <t>DISTRIBUCION</t>
  </si>
  <si>
    <t>RED AEREA</t>
  </si>
  <si>
    <t>N</t>
  </si>
  <si>
    <t>S</t>
  </si>
  <si>
    <t>R</t>
  </si>
  <si>
    <t>-</t>
  </si>
  <si>
    <t>D-133</t>
  </si>
  <si>
    <t>*****</t>
  </si>
  <si>
    <t>T</t>
  </si>
  <si>
    <t>9L0AR</t>
  </si>
  <si>
    <t>D-319</t>
  </si>
  <si>
    <t>D-125E</t>
  </si>
  <si>
    <t>D-279</t>
  </si>
  <si>
    <t>D-125B</t>
  </si>
  <si>
    <t>D-134</t>
  </si>
  <si>
    <t>Total general</t>
  </si>
  <si>
    <t>NI</t>
  </si>
  <si>
    <t>TPR</t>
  </si>
  <si>
    <t>UPA</t>
  </si>
  <si>
    <t>CAIDI</t>
  </si>
  <si>
    <t>MENSUAL</t>
  </si>
  <si>
    <t>SAIDI</t>
  </si>
  <si>
    <t>D-133- FALSO CONTACTO</t>
  </si>
  <si>
    <t>D-145- ANIMALES</t>
  </si>
  <si>
    <t>************</t>
  </si>
  <si>
    <t>SAIDI JUNIO 2018</t>
  </si>
  <si>
    <t>SAIFI JUNIO 2018</t>
  </si>
  <si>
    <t>CAIDI JUNIO 2018</t>
  </si>
  <si>
    <t>TPR JUNIO 2018</t>
  </si>
  <si>
    <t>UPA JUNIO 2018</t>
  </si>
  <si>
    <t>NI JUNIO 2018</t>
  </si>
  <si>
    <t>D-134- RAMA SOBRE LA LINEA</t>
  </si>
  <si>
    <t>K853R</t>
  </si>
  <si>
    <t>9M96L</t>
  </si>
  <si>
    <t>2018.01.14</t>
  </si>
  <si>
    <t>D-233</t>
  </si>
  <si>
    <t>2018.01.19</t>
  </si>
  <si>
    <t>2018.02.18</t>
  </si>
  <si>
    <t>D-153</t>
  </si>
  <si>
    <t>2018.03.09</t>
  </si>
  <si>
    <t>D-252</t>
  </si>
  <si>
    <t>2018.03.19</t>
  </si>
  <si>
    <t>2018.03.20</t>
  </si>
  <si>
    <t>D-144</t>
  </si>
  <si>
    <t>2018.04.25</t>
  </si>
  <si>
    <t>2018.04.26</t>
  </si>
  <si>
    <t>2018.05.02</t>
  </si>
  <si>
    <t>2018.05.05</t>
  </si>
  <si>
    <t>2018.05.10</t>
  </si>
  <si>
    <t>2018.05.12</t>
  </si>
  <si>
    <t>D-109</t>
  </si>
  <si>
    <t>2018.05.14</t>
  </si>
  <si>
    <t>2018.05.15</t>
  </si>
  <si>
    <t>2018.05.17</t>
  </si>
  <si>
    <t>2018.05.21</t>
  </si>
  <si>
    <t>2018.05.22</t>
  </si>
  <si>
    <t>2018.05.23</t>
  </si>
  <si>
    <t>2018.05.24</t>
  </si>
  <si>
    <t>CAUSA</t>
  </si>
  <si>
    <t>META A MAY 18</t>
  </si>
  <si>
    <t>Total 4015</t>
  </si>
  <si>
    <t>Total 4032</t>
  </si>
  <si>
    <t>Total 4010</t>
  </si>
  <si>
    <t>Total 4020</t>
  </si>
  <si>
    <t>Total 4030</t>
  </si>
  <si>
    <t>Subestacion</t>
  </si>
  <si>
    <t>ENERO</t>
  </si>
  <si>
    <t>FEBRERO</t>
  </si>
  <si>
    <t>MARZO</t>
  </si>
  <si>
    <t>ABRIL</t>
  </si>
  <si>
    <t>MAYO</t>
  </si>
  <si>
    <t>Usuarios Zona</t>
  </si>
  <si>
    <t>Usuarios Afectados</t>
  </si>
  <si>
    <t xml:space="preserve"> DEMUA</t>
  </si>
  <si>
    <t xml:space="preserve"> Duración</t>
  </si>
  <si>
    <t>SAIFI</t>
  </si>
  <si>
    <t>AREAS</t>
  </si>
  <si>
    <t>Ene</t>
  </si>
  <si>
    <t>Feb</t>
  </si>
  <si>
    <t>Mar</t>
  </si>
  <si>
    <t>Abr</t>
  </si>
  <si>
    <t>May</t>
  </si>
  <si>
    <t>Jun</t>
  </si>
  <si>
    <t>Jul</t>
  </si>
  <si>
    <t>Ago</t>
  </si>
  <si>
    <t>Sep</t>
  </si>
  <si>
    <t>Oct</t>
  </si>
  <si>
    <t>Nov</t>
  </si>
  <si>
    <t>Dic</t>
  </si>
  <si>
    <t>Total - Acum</t>
  </si>
  <si>
    <t>META</t>
  </si>
  <si>
    <t>REAL</t>
  </si>
  <si>
    <t>D-134- RAMAS SOBRE LA LINEA</t>
  </si>
  <si>
    <t>D-144- PROPAGACION FALLA AJENA</t>
  </si>
  <si>
    <t>D-153- SOBRECARGA</t>
  </si>
  <si>
    <t>D-144- FALTA BRECHA</t>
  </si>
  <si>
    <t>D-125B- DESCARGA ATMOSFERICA AISLADOR FLAMEADO</t>
  </si>
  <si>
    <t>D-125E- DESCARGA ATMOSFERICA APARTARRAYO DAÑADO</t>
  </si>
  <si>
    <t>D-153 SOBRECARGA</t>
  </si>
  <si>
    <t>D-109- FUSIBLE INADECUADO</t>
  </si>
  <si>
    <t>causas que aportan al SAIDI</t>
  </si>
  <si>
    <t>Circuitos que aportan mayor SAIDI</t>
  </si>
  <si>
    <t>Interrupciones por circuito</t>
  </si>
  <si>
    <t xml:space="preserve">Causa  </t>
  </si>
  <si>
    <t>Saidi</t>
  </si>
  <si>
    <t>CIRCUITO</t>
  </si>
  <si>
    <t>% Aportacion</t>
  </si>
  <si>
    <t>Us Afectados</t>
  </si>
  <si>
    <t>Fecha de entrega en Propiedad</t>
  </si>
  <si>
    <t>Responsable del Circuito</t>
  </si>
  <si>
    <t>Fecha de terminacion de ordenamiento de ramales</t>
  </si>
  <si>
    <t>Interrupciones ramales</t>
  </si>
  <si>
    <t>Interrupcion en troncal</t>
  </si>
  <si>
    <t>ANIMALES</t>
  </si>
  <si>
    <t>JUY-04010</t>
  </si>
  <si>
    <t>Foranea</t>
  </si>
  <si>
    <t>FALSO CONTACTO</t>
  </si>
  <si>
    <t>TGD-04090</t>
  </si>
  <si>
    <t>GIA-04010</t>
  </si>
  <si>
    <t>DESCARGA ATMOSFERICA AISLADOR FLAMEADO</t>
  </si>
  <si>
    <t>RDB-04045</t>
  </si>
  <si>
    <t>DESCARGA ATMOSFERICA PUENTE ABIERTO</t>
  </si>
  <si>
    <t>Romeo adin jonapa avenaño y luis a hernandez hdez</t>
  </si>
  <si>
    <t>FALLA DE CONDUCTORES</t>
  </si>
  <si>
    <t>arco Antonio de Paz de Los Santos y Gilberto Armando de la Cruz Vazquez</t>
  </si>
  <si>
    <t>LMX-04012</t>
  </si>
  <si>
    <t>Cintalapa</t>
  </si>
  <si>
    <t>Total Saidi</t>
  </si>
  <si>
    <t>TGD-04100</t>
  </si>
  <si>
    <t>Rafael Antonio Palacios Jimenez y Pedro Jimenez Gonzalez</t>
  </si>
  <si>
    <t>CIT-04040</t>
  </si>
  <si>
    <t>total saidi</t>
  </si>
  <si>
    <t>Minutos</t>
  </si>
  <si>
    <t>falso contacto en donde</t>
  </si>
  <si>
    <t>animales en donde que tipo</t>
  </si>
  <si>
    <t>los ramales de los circuitos RDB-4045, JUY-4010, GIA-4010 Y TGD-4100 que presentan interrupciones no se han realizado ordenamiento de ramales y estan programados para el mes de Junio los circuitos TGD-4100, RDB-4045 Y JUY-4010, el GIA-4010 se tenia programado en el mes de Marzo,  los ramales del Circuito TGD-04090 ya se realizo ordenamiento de ramales y se concluyeron el dia 1 de marzo de 2018.</t>
  </si>
  <si>
    <t>concepto</t>
  </si>
  <si>
    <t>enero</t>
  </si>
  <si>
    <t>febrero</t>
  </si>
  <si>
    <t>marzo</t>
  </si>
  <si>
    <t>abril</t>
  </si>
  <si>
    <t>mayo</t>
  </si>
  <si>
    <t>junio</t>
  </si>
  <si>
    <t>julio</t>
  </si>
  <si>
    <t>agosto</t>
  </si>
  <si>
    <t>septiembre</t>
  </si>
  <si>
    <t>octubre</t>
  </si>
  <si>
    <t>noviembre</t>
  </si>
  <si>
    <t>diciembre</t>
  </si>
  <si>
    <t>real 17</t>
  </si>
  <si>
    <t>meta 18</t>
  </si>
  <si>
    <t>real 18</t>
  </si>
  <si>
    <t>acciones</t>
  </si>
  <si>
    <t>En el mes de Mayo se tuvieron 85 interrupciones en la Zona Tuxtla de las cuales 4 son de troncales y 81 de ramales siendo los circuitos JUY-4010, GIA-4010, RDB-4045, TGD-4090, LMX-4012 Y CIT-04040 los que mas interrupciones han presentado.</t>
  </si>
  <si>
    <t>Urbana</t>
  </si>
  <si>
    <t>Bochil</t>
  </si>
  <si>
    <t>Villaflores</t>
  </si>
  <si>
    <t>Meta</t>
  </si>
  <si>
    <t>Real</t>
  </si>
  <si>
    <t xml:space="preserve">circuito </t>
  </si>
  <si>
    <t>saidi</t>
  </si>
  <si>
    <t>Javier González Franco</t>
  </si>
  <si>
    <t>DESC. ATMOSF. AISLADOR FLAMEADO</t>
  </si>
  <si>
    <t>Romeo Adin Jonapa Avenaño y Luis A Hernandez Hdez</t>
  </si>
  <si>
    <t>LGZ-04010</t>
  </si>
  <si>
    <t>RAMA SOBRE LA LINEA</t>
  </si>
  <si>
    <t>D-141- CHOQUE O GOLPE</t>
  </si>
  <si>
    <t>GIA-04020</t>
  </si>
  <si>
    <t>Francisco Sánchez Pérez y Jorge Vidal Miceli</t>
  </si>
  <si>
    <t>VFD-04020</t>
  </si>
  <si>
    <t>animakes en donde que tipo</t>
  </si>
  <si>
    <t>Los ramales de los circuitos JUY-4010, GIA-4010 Y GIA-4020 que presentan interrupciones no se han realizado ordenamiento de ramales y estan programados para el mes de Junio los circuitos JUY-4010, el Circuito GIA-4010 se tenia programado en el mes de Marzo y el GIA-4020 para el mes de Abril,  los ramales del Circuito TGD-04090 ya se realizo ordenamiento de ramales y se concluyeron el dia 1 de marzo de 2018,para el caso del circuito LMX-4012 se tiene ejecutado el 17 de Enero de 2018.</t>
  </si>
  <si>
    <t>Acomulado al mes de Mayo se tienen 227 interrupciones en la Zona Tuxtla de las cuales 6 son de troncales y 221 de ramales siendo los circuitos JUY-4010, GIA-4010, LGZ-4010, TGD-4090, GIA-4020 Y VFD-4020 los que mas interrupciones han presentado.</t>
  </si>
  <si>
    <t>0151</t>
  </si>
  <si>
    <t>LMX</t>
  </si>
  <si>
    <t>9MNTB</t>
  </si>
  <si>
    <t>0095</t>
  </si>
  <si>
    <t>NVA LIBERACI</t>
  </si>
  <si>
    <t>0099</t>
  </si>
  <si>
    <t>2018.01.15</t>
  </si>
  <si>
    <t>0102</t>
  </si>
  <si>
    <t>2018.01.16</t>
  </si>
  <si>
    <t>*-F1552-ELOY</t>
  </si>
  <si>
    <t>D-151</t>
  </si>
  <si>
    <t>PM926</t>
  </si>
  <si>
    <t>0109</t>
  </si>
  <si>
    <t>PED</t>
  </si>
  <si>
    <t>DIAZ ORD</t>
  </si>
  <si>
    <t>QQ603</t>
  </si>
  <si>
    <t>0116</t>
  </si>
  <si>
    <t>MPE</t>
  </si>
  <si>
    <t>2018.01.22</t>
  </si>
  <si>
    <t>ESPERANZA DE</t>
  </si>
  <si>
    <t>K0403194191</t>
  </si>
  <si>
    <t>0138</t>
  </si>
  <si>
    <t>CIT</t>
  </si>
  <si>
    <t>2018.01.23</t>
  </si>
  <si>
    <t>RAM GUACAMAY</t>
  </si>
  <si>
    <t>9M9C4</t>
  </si>
  <si>
    <t>K0403194864</t>
  </si>
  <si>
    <t>0227</t>
  </si>
  <si>
    <t>OCZ</t>
  </si>
  <si>
    <t>2018.02.06</t>
  </si>
  <si>
    <t>VICENTE GRO</t>
  </si>
  <si>
    <t>9B57E</t>
  </si>
  <si>
    <t>K0403201301</t>
  </si>
  <si>
    <t>0329</t>
  </si>
  <si>
    <t>RAMAL</t>
  </si>
  <si>
    <t>9MNT3</t>
  </si>
  <si>
    <t>0410</t>
  </si>
  <si>
    <t>2018.03.07</t>
  </si>
  <si>
    <t>CAMP CHINT</t>
  </si>
  <si>
    <t>9B57P</t>
  </si>
  <si>
    <t>K0403214045</t>
  </si>
  <si>
    <t>0431</t>
  </si>
  <si>
    <t>MELCHOR OCAM</t>
  </si>
  <si>
    <t>K0403214795</t>
  </si>
  <si>
    <t>0457</t>
  </si>
  <si>
    <t>2018.03.14</t>
  </si>
  <si>
    <t>NVA LIBERTAD</t>
  </si>
  <si>
    <t>K0403217133</t>
  </si>
  <si>
    <t>0479</t>
  </si>
  <si>
    <t>2018.03.16</t>
  </si>
  <si>
    <t>RINCON DE LA</t>
  </si>
  <si>
    <t>K0403217872</t>
  </si>
  <si>
    <t>0482</t>
  </si>
  <si>
    <t>URBANA EJI 2</t>
  </si>
  <si>
    <t>K0403218463</t>
  </si>
  <si>
    <t>0505</t>
  </si>
  <si>
    <t>RANCH RAYMUN</t>
  </si>
  <si>
    <t>D-123M</t>
  </si>
  <si>
    <t>9FLGG</t>
  </si>
  <si>
    <t>K0403218839</t>
  </si>
  <si>
    <t>0960</t>
  </si>
  <si>
    <t>FCO I MADERO</t>
  </si>
  <si>
    <t>K0403236309</t>
  </si>
  <si>
    <t>0965</t>
  </si>
  <si>
    <t>BOMBANO2</t>
  </si>
  <si>
    <t>K0403236842</t>
  </si>
  <si>
    <t>1107</t>
  </si>
  <si>
    <t>RAMAL CASETA</t>
  </si>
  <si>
    <t>K0403239799</t>
  </si>
  <si>
    <t>1170</t>
  </si>
  <si>
    <t>RIA ROSENDO</t>
  </si>
  <si>
    <t>K0403242043</t>
  </si>
  <si>
    <t>1246</t>
  </si>
  <si>
    <t>2018.05.09</t>
  </si>
  <si>
    <t>FELIPE ANGE</t>
  </si>
  <si>
    <t>K395R</t>
  </si>
  <si>
    <t>1262</t>
  </si>
  <si>
    <t>2018.05.13</t>
  </si>
  <si>
    <t>F_POMPOSO_3D</t>
  </si>
  <si>
    <t>1231</t>
  </si>
  <si>
    <t>TENEJAPA</t>
  </si>
  <si>
    <t>9MNT4</t>
  </si>
  <si>
    <t>K0403245600</t>
  </si>
  <si>
    <t>1282</t>
  </si>
  <si>
    <t>REST TRIUNFO</t>
  </si>
  <si>
    <t>1270</t>
  </si>
  <si>
    <t>EL GAVILAN</t>
  </si>
  <si>
    <t>9FEA1</t>
  </si>
  <si>
    <t>K0403246383</t>
  </si>
  <si>
    <t>1273</t>
  </si>
  <si>
    <t>2018.05.16</t>
  </si>
  <si>
    <t>NVO SIMOJOVE</t>
  </si>
  <si>
    <t>K0403246885</t>
  </si>
  <si>
    <t>1281</t>
  </si>
  <si>
    <t>CENTR JIQ 2</t>
  </si>
  <si>
    <t>9FHD0</t>
  </si>
  <si>
    <t>K0403246959</t>
  </si>
  <si>
    <t>1314</t>
  </si>
  <si>
    <t>ZAPATA</t>
  </si>
  <si>
    <t>K0403248015</t>
  </si>
  <si>
    <t>1294</t>
  </si>
  <si>
    <t>LOS POCITOS</t>
  </si>
  <si>
    <t>9EX4B</t>
  </si>
  <si>
    <t>K0403248076</t>
  </si>
  <si>
    <t>1351</t>
  </si>
  <si>
    <t>F_CTHIEL_3D</t>
  </si>
  <si>
    <t>9FD9J</t>
  </si>
  <si>
    <t>K0403249134</t>
  </si>
  <si>
    <t>1398</t>
  </si>
  <si>
    <t>TILTEPEC 2</t>
  </si>
  <si>
    <t>K0403249896</t>
  </si>
  <si>
    <t>1387</t>
  </si>
  <si>
    <t>OJO DE AGUA</t>
  </si>
  <si>
    <t>K0403249900</t>
  </si>
  <si>
    <t>1377</t>
  </si>
  <si>
    <t>CACAHUATERA</t>
  </si>
  <si>
    <t>1400</t>
  </si>
  <si>
    <t>TEHUACAN</t>
  </si>
  <si>
    <t>K0403250820</t>
  </si>
  <si>
    <t>1429</t>
  </si>
  <si>
    <t>2018.05.27</t>
  </si>
  <si>
    <t>LLANO GDE</t>
  </si>
  <si>
    <t>K0403251896</t>
  </si>
  <si>
    <t>Total 4012</t>
  </si>
  <si>
    <t>Total 4022</t>
  </si>
  <si>
    <t>Total LMX</t>
  </si>
  <si>
    <t>Total 4050</t>
  </si>
  <si>
    <t>Total 4040</t>
  </si>
  <si>
    <t>Total OCZ</t>
  </si>
  <si>
    <t>Total CIT</t>
  </si>
  <si>
    <t>Total 4025</t>
  </si>
  <si>
    <t>Total MPE</t>
  </si>
  <si>
    <t>Total PED</t>
  </si>
  <si>
    <t>CINTALAPA</t>
  </si>
  <si>
    <t>D-151- LIBRANZA</t>
  </si>
  <si>
    <t>D-123M- VIENTOS FUERTES</t>
  </si>
  <si>
    <t>0046</t>
  </si>
  <si>
    <t>H</t>
  </si>
  <si>
    <t>VFD</t>
  </si>
  <si>
    <t>2018.01.02</t>
  </si>
  <si>
    <t>F2364-LA SIR</t>
  </si>
  <si>
    <t>9FB79</t>
  </si>
  <si>
    <t>0019</t>
  </si>
  <si>
    <t>F</t>
  </si>
  <si>
    <t>TXS</t>
  </si>
  <si>
    <t>2018.01.05</t>
  </si>
  <si>
    <t>1NTE 4OTE</t>
  </si>
  <si>
    <t>D-309</t>
  </si>
  <si>
    <t>9FA6H</t>
  </si>
  <si>
    <t>0025</t>
  </si>
  <si>
    <t>AAA</t>
  </si>
  <si>
    <t>2018.01.08</t>
  </si>
  <si>
    <t>BOMBEO</t>
  </si>
  <si>
    <t>9L0D8</t>
  </si>
  <si>
    <t>K0403188323</t>
  </si>
  <si>
    <t>0073</t>
  </si>
  <si>
    <t>G</t>
  </si>
  <si>
    <t>TXN</t>
  </si>
  <si>
    <t>F0626-A.BAJA</t>
  </si>
  <si>
    <t>9AMNK</t>
  </si>
  <si>
    <t>K0403188223</t>
  </si>
  <si>
    <t>0032</t>
  </si>
  <si>
    <t>2018.01.10</t>
  </si>
  <si>
    <t>F2368-CATARI</t>
  </si>
  <si>
    <t>K0403189676</t>
  </si>
  <si>
    <t>0040</t>
  </si>
  <si>
    <t>GIA</t>
  </si>
  <si>
    <t>2018.01.12</t>
  </si>
  <si>
    <t>SALVADOR URB</t>
  </si>
  <si>
    <t>K0403191025</t>
  </si>
  <si>
    <t>0052</t>
  </si>
  <si>
    <t>2018.01.13</t>
  </si>
  <si>
    <t>F2209-7 PTE</t>
  </si>
  <si>
    <t>K0403191286</t>
  </si>
  <si>
    <t>0060</t>
  </si>
  <si>
    <t>TGU</t>
  </si>
  <si>
    <t>F0167-FCOSAB</t>
  </si>
  <si>
    <t>K852R</t>
  </si>
  <si>
    <t>K0403191308</t>
  </si>
  <si>
    <t>0055</t>
  </si>
  <si>
    <t>TGD</t>
  </si>
  <si>
    <t>LLANO TIGRE</t>
  </si>
  <si>
    <t>K0403191332</t>
  </si>
  <si>
    <t>0092</t>
  </si>
  <si>
    <t>2018.01.18</t>
  </si>
  <si>
    <t>EL MIRADOR</t>
  </si>
  <si>
    <t>D-242</t>
  </si>
  <si>
    <t>D-151A</t>
  </si>
  <si>
    <t>9B57L</t>
  </si>
  <si>
    <t>0091</t>
  </si>
  <si>
    <t>JUY</t>
  </si>
  <si>
    <t>LIMONES</t>
  </si>
  <si>
    <t>9EX41</t>
  </si>
  <si>
    <t>K0403193353</t>
  </si>
  <si>
    <t>0103</t>
  </si>
  <si>
    <t>LGZ</t>
  </si>
  <si>
    <t>F2444</t>
  </si>
  <si>
    <t>K0403193377</t>
  </si>
  <si>
    <t>0115</t>
  </si>
  <si>
    <t>F0403-8APONI</t>
  </si>
  <si>
    <t>9B51C</t>
  </si>
  <si>
    <t>K0403193500</t>
  </si>
  <si>
    <t>0097</t>
  </si>
  <si>
    <t>OBREGON</t>
  </si>
  <si>
    <t>9FMH2</t>
  </si>
  <si>
    <t>K0403193435</t>
  </si>
  <si>
    <t>0118</t>
  </si>
  <si>
    <t>MAA</t>
  </si>
  <si>
    <t>F0456 L-MACT</t>
  </si>
  <si>
    <t>K0403193772</t>
  </si>
  <si>
    <t>0106</t>
  </si>
  <si>
    <t>RDB</t>
  </si>
  <si>
    <t>2018.01.20</t>
  </si>
  <si>
    <t>RAMAL PACU 1</t>
  </si>
  <si>
    <t>D-243</t>
  </si>
  <si>
    <t>9M933</t>
  </si>
  <si>
    <t>0117</t>
  </si>
  <si>
    <t>F0065-SUBMAZ</t>
  </si>
  <si>
    <t>K0403194507</t>
  </si>
  <si>
    <t>0122</t>
  </si>
  <si>
    <t>F0025-CHAPUL</t>
  </si>
  <si>
    <t>K0403194170</t>
  </si>
  <si>
    <t>0141</t>
  </si>
  <si>
    <t>2018.01.24</t>
  </si>
  <si>
    <t>F0676-5A ORI</t>
  </si>
  <si>
    <t>K0403195880</t>
  </si>
  <si>
    <t>0142</t>
  </si>
  <si>
    <t>F0044-P.A.N3</t>
  </si>
  <si>
    <t>K0403195388</t>
  </si>
  <si>
    <t>W</t>
  </si>
  <si>
    <t>0001</t>
  </si>
  <si>
    <t>ANG</t>
  </si>
  <si>
    <t>W-A62</t>
  </si>
  <si>
    <t>LINEAS DE SUBTRANSMISION</t>
  </si>
  <si>
    <t>9B56D</t>
  </si>
  <si>
    <t>0216</t>
  </si>
  <si>
    <t>2018.02.01</t>
  </si>
  <si>
    <t>2018.02.02</t>
  </si>
  <si>
    <t>9MNYH</t>
  </si>
  <si>
    <t>0219</t>
  </si>
  <si>
    <t>F2517-PORTIL</t>
  </si>
  <si>
    <t>9MNTA</t>
  </si>
  <si>
    <t>K0403199692</t>
  </si>
  <si>
    <t>0236</t>
  </si>
  <si>
    <t>COP</t>
  </si>
  <si>
    <t>2018.02.05</t>
  </si>
  <si>
    <t>LUIS ESPINOZ</t>
  </si>
  <si>
    <t>D-251</t>
  </si>
  <si>
    <t>9FEA2</t>
  </si>
  <si>
    <t>0347</t>
  </si>
  <si>
    <t>2018.02.15</t>
  </si>
  <si>
    <t>F2361 AMTES</t>
  </si>
  <si>
    <t>9FEAF</t>
  </si>
  <si>
    <t>0289</t>
  </si>
  <si>
    <t>F0642-C.C.1</t>
  </si>
  <si>
    <t>K0403204712</t>
  </si>
  <si>
    <t>0292</t>
  </si>
  <si>
    <t>2018.02.16</t>
  </si>
  <si>
    <t>2018.02.17</t>
  </si>
  <si>
    <t>F0548-INSURG</t>
  </si>
  <si>
    <t>9DY4F</t>
  </si>
  <si>
    <t>K0403205607</t>
  </si>
  <si>
    <t>0295</t>
  </si>
  <si>
    <t>J</t>
  </si>
  <si>
    <t>SMJ</t>
  </si>
  <si>
    <t>COL SAN JOSE</t>
  </si>
  <si>
    <t>9M92B</t>
  </si>
  <si>
    <t>K0403205611</t>
  </si>
  <si>
    <t>0288</t>
  </si>
  <si>
    <t>BOMBEO SAN F</t>
  </si>
  <si>
    <t>0287</t>
  </si>
  <si>
    <t>BARTOLOME</t>
  </si>
  <si>
    <t>9DW0G</t>
  </si>
  <si>
    <t>K0403205948</t>
  </si>
  <si>
    <t>0338</t>
  </si>
  <si>
    <t>2018.02.20</t>
  </si>
  <si>
    <t>F0330-ROSARI</t>
  </si>
  <si>
    <t>K0403207651</t>
  </si>
  <si>
    <t>0340</t>
  </si>
  <si>
    <t>2018.02.21</t>
  </si>
  <si>
    <t>2018.02.22</t>
  </si>
  <si>
    <t>F0327-PARAI2</t>
  </si>
  <si>
    <t>K0403208186</t>
  </si>
  <si>
    <t>0353</t>
  </si>
  <si>
    <t>2018.02.23</t>
  </si>
  <si>
    <t>EST SN</t>
  </si>
  <si>
    <t>K0403208817</t>
  </si>
  <si>
    <t>0333</t>
  </si>
  <si>
    <t>ZARAGOZA</t>
  </si>
  <si>
    <t>K0403208640</t>
  </si>
  <si>
    <t>0350</t>
  </si>
  <si>
    <t>2018.02.25</t>
  </si>
  <si>
    <t>F0366-4ASURP</t>
  </si>
  <si>
    <t>9FB76</t>
  </si>
  <si>
    <t>K0403209313</t>
  </si>
  <si>
    <t>0336</t>
  </si>
  <si>
    <t>EST 43A</t>
  </si>
  <si>
    <t>0371</t>
  </si>
  <si>
    <t>2018.02.26</t>
  </si>
  <si>
    <t>F2248- U DEP</t>
  </si>
  <si>
    <t>9FEA3</t>
  </si>
  <si>
    <t>K0403209367</t>
  </si>
  <si>
    <t>0370</t>
  </si>
  <si>
    <t>IPD</t>
  </si>
  <si>
    <t>2018.02.28</t>
  </si>
  <si>
    <t>F2278-CHICHA</t>
  </si>
  <si>
    <t>K0403209841</t>
  </si>
  <si>
    <t>0369</t>
  </si>
  <si>
    <t>2018.02.27</t>
  </si>
  <si>
    <t>V.HGO.CAMINO</t>
  </si>
  <si>
    <t>QU619</t>
  </si>
  <si>
    <t>K0403210531</t>
  </si>
  <si>
    <t>0378</t>
  </si>
  <si>
    <t>2018.03.01</t>
  </si>
  <si>
    <t>F0322-MANGU3</t>
  </si>
  <si>
    <t>K0403211888</t>
  </si>
  <si>
    <t>0391</t>
  </si>
  <si>
    <t>2018.03.02</t>
  </si>
  <si>
    <t>SINALOENSE</t>
  </si>
  <si>
    <t>K860R</t>
  </si>
  <si>
    <t>K0403212478</t>
  </si>
  <si>
    <t>0397</t>
  </si>
  <si>
    <t>9FLGD</t>
  </si>
  <si>
    <t>0392</t>
  </si>
  <si>
    <t>F2213 4 PTE</t>
  </si>
  <si>
    <t>K0403212573</t>
  </si>
  <si>
    <t>0390</t>
  </si>
  <si>
    <t>F2228- 8 OTE</t>
  </si>
  <si>
    <t>D-255</t>
  </si>
  <si>
    <t>9MNNF</t>
  </si>
  <si>
    <t>K0403212278</t>
  </si>
  <si>
    <t>0382</t>
  </si>
  <si>
    <t>F0214-CCF 3D</t>
  </si>
  <si>
    <t>K0403212381</t>
  </si>
  <si>
    <t>0386</t>
  </si>
  <si>
    <t>2018.03.03</t>
  </si>
  <si>
    <t>F0487-16 SUR</t>
  </si>
  <si>
    <t>K0403212608</t>
  </si>
  <si>
    <t>0389</t>
  </si>
  <si>
    <t>2018.03.04</t>
  </si>
  <si>
    <t>F0127-SAHOP</t>
  </si>
  <si>
    <t>K0403212688</t>
  </si>
  <si>
    <t>0388</t>
  </si>
  <si>
    <t>F0495-S.MAGI</t>
  </si>
  <si>
    <t>K0403212693</t>
  </si>
  <si>
    <t>0399</t>
  </si>
  <si>
    <t>CARMEN TONAP</t>
  </si>
  <si>
    <t>9B569</t>
  </si>
  <si>
    <t>0606</t>
  </si>
  <si>
    <t>F0857</t>
  </si>
  <si>
    <t>9M92E</t>
  </si>
  <si>
    <t>0408</t>
  </si>
  <si>
    <t>K0403214158</t>
  </si>
  <si>
    <t>0460</t>
  </si>
  <si>
    <t>F2464-MELCHO</t>
  </si>
  <si>
    <t>9M92W</t>
  </si>
  <si>
    <t>0421</t>
  </si>
  <si>
    <t>ZAPOTE</t>
  </si>
  <si>
    <t>0423</t>
  </si>
  <si>
    <t>EST 141</t>
  </si>
  <si>
    <t>0424</t>
  </si>
  <si>
    <t>MONTE RICO</t>
  </si>
  <si>
    <t>0422</t>
  </si>
  <si>
    <t>CARDENAS</t>
  </si>
  <si>
    <t>0458</t>
  </si>
  <si>
    <t>SOY</t>
  </si>
  <si>
    <t>F2809-ADOLFO</t>
  </si>
  <si>
    <t>9AMNX</t>
  </si>
  <si>
    <t>0428</t>
  </si>
  <si>
    <t>2018.03.10</t>
  </si>
  <si>
    <t>F2433 GRANO2</t>
  </si>
  <si>
    <t>K0403215181</t>
  </si>
  <si>
    <t>0433</t>
  </si>
  <si>
    <t>2018.03.11</t>
  </si>
  <si>
    <t>2OTE 2SUR</t>
  </si>
  <si>
    <t>9MNT1</t>
  </si>
  <si>
    <t>K0403215218</t>
  </si>
  <si>
    <t>0426</t>
  </si>
  <si>
    <t>16 DE SEP. S</t>
  </si>
  <si>
    <t>K0403215269</t>
  </si>
  <si>
    <t>0456</t>
  </si>
  <si>
    <t>F0610-TERMIN</t>
  </si>
  <si>
    <t>K0403217217</t>
  </si>
  <si>
    <t>0434</t>
  </si>
  <si>
    <t>F0169-ARAMON</t>
  </si>
  <si>
    <t>K0403216967</t>
  </si>
  <si>
    <t>0654</t>
  </si>
  <si>
    <t>2018.03.15</t>
  </si>
  <si>
    <t>F2225- 2 SUR</t>
  </si>
  <si>
    <t>G431N</t>
  </si>
  <si>
    <t>0489</t>
  </si>
  <si>
    <t>F0905</t>
  </si>
  <si>
    <t>K0403217868</t>
  </si>
  <si>
    <t>0485</t>
  </si>
  <si>
    <t>F0310</t>
  </si>
  <si>
    <t>D-292</t>
  </si>
  <si>
    <t>K0403217898</t>
  </si>
  <si>
    <t>0490</t>
  </si>
  <si>
    <t>2018.03.17</t>
  </si>
  <si>
    <t>F0431-PARQUE</t>
  </si>
  <si>
    <t>K0403218195</t>
  </si>
  <si>
    <t>0503</t>
  </si>
  <si>
    <t>F2503-PORTIL</t>
  </si>
  <si>
    <t>9FGCU</t>
  </si>
  <si>
    <t>K0403218182</t>
  </si>
  <si>
    <t>0492</t>
  </si>
  <si>
    <t>2018.03.18</t>
  </si>
  <si>
    <t>F2319-GPE</t>
  </si>
  <si>
    <t>D-147</t>
  </si>
  <si>
    <t>K0403218283</t>
  </si>
  <si>
    <t>0495</t>
  </si>
  <si>
    <t>F0767-HERRAD</t>
  </si>
  <si>
    <t>K0403218261</t>
  </si>
  <si>
    <t>0497</t>
  </si>
  <si>
    <t>F0878</t>
  </si>
  <si>
    <t>D-257</t>
  </si>
  <si>
    <t>K742R</t>
  </si>
  <si>
    <t>K0403218331</t>
  </si>
  <si>
    <t>0499</t>
  </si>
  <si>
    <t>D-231</t>
  </si>
  <si>
    <t>D-141</t>
  </si>
  <si>
    <t>9M9C7</t>
  </si>
  <si>
    <t>K0403218400</t>
  </si>
  <si>
    <t>0486</t>
  </si>
  <si>
    <t>SECUNDARIA</t>
  </si>
  <si>
    <t>9FLGU</t>
  </si>
  <si>
    <t>K0403218558</t>
  </si>
  <si>
    <t>0496</t>
  </si>
  <si>
    <t>2018.03.21</t>
  </si>
  <si>
    <t>CAHUARE</t>
  </si>
  <si>
    <t>0502</t>
  </si>
  <si>
    <t>SAN JUDAS TA</t>
  </si>
  <si>
    <t>0498</t>
  </si>
  <si>
    <t>F2410-LIBERT</t>
  </si>
  <si>
    <t>K0403218587</t>
  </si>
  <si>
    <t>0542</t>
  </si>
  <si>
    <t>2018.03.22</t>
  </si>
  <si>
    <t>K0403220607</t>
  </si>
  <si>
    <t>0655</t>
  </si>
  <si>
    <t>F2380-SARAG</t>
  </si>
  <si>
    <t>0501</t>
  </si>
  <si>
    <t>F0024-CHAPUL</t>
  </si>
  <si>
    <t>K0403220257</t>
  </si>
  <si>
    <t>0550</t>
  </si>
  <si>
    <t>2018.03.23</t>
  </si>
  <si>
    <t>F0312-LOMA03</t>
  </si>
  <si>
    <t>R-33</t>
  </si>
  <si>
    <t>R-01A</t>
  </si>
  <si>
    <t>REDES SUBTERRANEAS</t>
  </si>
  <si>
    <t>K0403221386</t>
  </si>
  <si>
    <t>0656</t>
  </si>
  <si>
    <t>F0328-21SEPT</t>
  </si>
  <si>
    <t>J593M</t>
  </si>
  <si>
    <t>0559</t>
  </si>
  <si>
    <t>2018.03.24</t>
  </si>
  <si>
    <t>K0403221525</t>
  </si>
  <si>
    <t>0564</t>
  </si>
  <si>
    <t>2018.03.25</t>
  </si>
  <si>
    <t>F0854</t>
  </si>
  <si>
    <t>K0403221937</t>
  </si>
  <si>
    <t>0634</t>
  </si>
  <si>
    <t>2018.03.27</t>
  </si>
  <si>
    <t>2A PTE 4SUR</t>
  </si>
  <si>
    <t>0612</t>
  </si>
  <si>
    <t>F0485-4Y12SU</t>
  </si>
  <si>
    <t>D-213</t>
  </si>
  <si>
    <t>K0403223183</t>
  </si>
  <si>
    <t>0625</t>
  </si>
  <si>
    <t>2018.03.28</t>
  </si>
  <si>
    <t>F2439</t>
  </si>
  <si>
    <t>9FB73</t>
  </si>
  <si>
    <t>0640</t>
  </si>
  <si>
    <t>2018.03.31</t>
  </si>
  <si>
    <t>BOMBEO SABIN</t>
  </si>
  <si>
    <t>9MNJ3</t>
  </si>
  <si>
    <t>0653</t>
  </si>
  <si>
    <t>2018.04.02</t>
  </si>
  <si>
    <t>F0245-L.LOMA</t>
  </si>
  <si>
    <t>K0403224759</t>
  </si>
  <si>
    <t>0669</t>
  </si>
  <si>
    <t>2018.04.03</t>
  </si>
  <si>
    <t>F0198-PSUR</t>
  </si>
  <si>
    <t>K0403225246</t>
  </si>
  <si>
    <t>0678</t>
  </si>
  <si>
    <t>2018.04.04</t>
  </si>
  <si>
    <t>F0380-11NORT</t>
  </si>
  <si>
    <t>K0403226014</t>
  </si>
  <si>
    <t>0690</t>
  </si>
  <si>
    <t>F2216-6 PTE</t>
  </si>
  <si>
    <t>K0403226935</t>
  </si>
  <si>
    <t>0748</t>
  </si>
  <si>
    <t>2018.04.05</t>
  </si>
  <si>
    <t>NANDAMBUA</t>
  </si>
  <si>
    <t>0713</t>
  </si>
  <si>
    <t>2018.04.06</t>
  </si>
  <si>
    <t>STA CRUZ NIP</t>
  </si>
  <si>
    <t>K0403228142</t>
  </si>
  <si>
    <t>1081</t>
  </si>
  <si>
    <t>D-271</t>
  </si>
  <si>
    <t>0705</t>
  </si>
  <si>
    <t>F0535-CTHIE1</t>
  </si>
  <si>
    <t>9DY7G</t>
  </si>
  <si>
    <t>K0403228040</t>
  </si>
  <si>
    <t>0775</t>
  </si>
  <si>
    <t>2018.04.07</t>
  </si>
  <si>
    <t>6A OTE 2NTE</t>
  </si>
  <si>
    <t>0737</t>
  </si>
  <si>
    <t>2018.04.08</t>
  </si>
  <si>
    <t>PAVAS</t>
  </si>
  <si>
    <t>0821</t>
  </si>
  <si>
    <t>PLANTA BOMBE</t>
  </si>
  <si>
    <t>K0403228506</t>
  </si>
  <si>
    <t>0917</t>
  </si>
  <si>
    <t>2018.04.09</t>
  </si>
  <si>
    <t>1078</t>
  </si>
  <si>
    <t>JUY JUY</t>
  </si>
  <si>
    <t>9B55X</t>
  </si>
  <si>
    <t>0747</t>
  </si>
  <si>
    <t>K0403228789</t>
  </si>
  <si>
    <t>1077</t>
  </si>
  <si>
    <t>2018.04.10</t>
  </si>
  <si>
    <t>F2311 B AGUA</t>
  </si>
  <si>
    <t>9FRLT</t>
  </si>
  <si>
    <t>0884</t>
  </si>
  <si>
    <t>2018.04.11</t>
  </si>
  <si>
    <t>1072</t>
  </si>
  <si>
    <t>2018.04.12</t>
  </si>
  <si>
    <t>MERCADO</t>
  </si>
  <si>
    <t>9DY3X</t>
  </si>
  <si>
    <t>0841</t>
  </si>
  <si>
    <t>F0062-ESMER2</t>
  </si>
  <si>
    <t>K0403231083</t>
  </si>
  <si>
    <t>0840</t>
  </si>
  <si>
    <t>F0301-CERROH</t>
  </si>
  <si>
    <t>K0403230886</t>
  </si>
  <si>
    <t>0857</t>
  </si>
  <si>
    <t>2018.04.13</t>
  </si>
  <si>
    <t>K0403231435</t>
  </si>
  <si>
    <t>1075</t>
  </si>
  <si>
    <t>F0278-DOMINS</t>
  </si>
  <si>
    <t>0856</t>
  </si>
  <si>
    <t>F9246-L.LOMA</t>
  </si>
  <si>
    <t>K0403231482</t>
  </si>
  <si>
    <t>1030</t>
  </si>
  <si>
    <t>2018.04.16</t>
  </si>
  <si>
    <t>SOMBRA SELVA</t>
  </si>
  <si>
    <t>D-281</t>
  </si>
  <si>
    <t>0890</t>
  </si>
  <si>
    <t>2018.04.17</t>
  </si>
  <si>
    <t>F2255  S ANT</t>
  </si>
  <si>
    <t>K0403232348</t>
  </si>
  <si>
    <t>0916</t>
  </si>
  <si>
    <t>0894</t>
  </si>
  <si>
    <t>2018.04.18</t>
  </si>
  <si>
    <t>F0332-ROSARI</t>
  </si>
  <si>
    <t>K0403232885</t>
  </si>
  <si>
    <t>0899</t>
  </si>
  <si>
    <t>RANCHO</t>
  </si>
  <si>
    <t>K0403233331</t>
  </si>
  <si>
    <t>1070</t>
  </si>
  <si>
    <t>2018.04.19</t>
  </si>
  <si>
    <t>F0255-REMEDI</t>
  </si>
  <si>
    <t>0923</t>
  </si>
  <si>
    <t>2018.04.20</t>
  </si>
  <si>
    <t>REFUGIO 2</t>
  </si>
  <si>
    <t>K0403234397</t>
  </si>
  <si>
    <t>0970</t>
  </si>
  <si>
    <t>2018.04.21</t>
  </si>
  <si>
    <t>TSITZUN</t>
  </si>
  <si>
    <t>0929</t>
  </si>
  <si>
    <t>2018.04.22</t>
  </si>
  <si>
    <t>F0398-VISHER</t>
  </si>
  <si>
    <t>K0403234774</t>
  </si>
  <si>
    <t>0928</t>
  </si>
  <si>
    <t>2018.04.23</t>
  </si>
  <si>
    <t>CHININAL</t>
  </si>
  <si>
    <t>K0403235008</t>
  </si>
  <si>
    <t>1062</t>
  </si>
  <si>
    <t>F0526-S.6JUN</t>
  </si>
  <si>
    <t>9DY7X</t>
  </si>
  <si>
    <t>0952</t>
  </si>
  <si>
    <t>2018.04.24</t>
  </si>
  <si>
    <t>F0499- BRAVO</t>
  </si>
  <si>
    <t>K0403235987</t>
  </si>
  <si>
    <t>0956</t>
  </si>
  <si>
    <t>MARUSIA</t>
  </si>
  <si>
    <t>K0403236553</t>
  </si>
  <si>
    <t>0961</t>
  </si>
  <si>
    <t>K0403236963</t>
  </si>
  <si>
    <t>0986</t>
  </si>
  <si>
    <t>F0151-JARDPE</t>
  </si>
  <si>
    <t>K0403237681</t>
  </si>
  <si>
    <t>0967</t>
  </si>
  <si>
    <t>F_F0214_3D</t>
  </si>
  <si>
    <t>K0403237212</t>
  </si>
  <si>
    <t>0993</t>
  </si>
  <si>
    <t>2018.04.27</t>
  </si>
  <si>
    <t>F0698-S.TORR</t>
  </si>
  <si>
    <t>K0403238074</t>
  </si>
  <si>
    <t>1035</t>
  </si>
  <si>
    <t>2018.04.28</t>
  </si>
  <si>
    <t>1074</t>
  </si>
  <si>
    <t>2018.04.30</t>
  </si>
  <si>
    <t>F2366 FLORES</t>
  </si>
  <si>
    <t>9B4YM</t>
  </si>
  <si>
    <t>1049</t>
  </si>
  <si>
    <t>F0113-CANT2</t>
  </si>
  <si>
    <t>K0403238863</t>
  </si>
  <si>
    <t>1082</t>
  </si>
  <si>
    <t>F2229- 10 TE</t>
  </si>
  <si>
    <t>1086</t>
  </si>
  <si>
    <t>2018.05.01</t>
  </si>
  <si>
    <t>F_F1280_3D</t>
  </si>
  <si>
    <t>1098</t>
  </si>
  <si>
    <t>K0403239670</t>
  </si>
  <si>
    <t>1301</t>
  </si>
  <si>
    <t>F0508-MISIO1</t>
  </si>
  <si>
    <t>9FPKY</t>
  </si>
  <si>
    <t>1130</t>
  </si>
  <si>
    <t>C MIGUEL HGO</t>
  </si>
  <si>
    <t>K0403240161</t>
  </si>
  <si>
    <t>1126</t>
  </si>
  <si>
    <t>2018.05.03</t>
  </si>
  <si>
    <t>F0843</t>
  </si>
  <si>
    <t>9DY7T</t>
  </si>
  <si>
    <t>K0403240343</t>
  </si>
  <si>
    <t>1458</t>
  </si>
  <si>
    <t>2018.05.04</t>
  </si>
  <si>
    <t>D-125J</t>
  </si>
  <si>
    <t>JARDINES</t>
  </si>
  <si>
    <t>1143</t>
  </si>
  <si>
    <t>STA CECILIA</t>
  </si>
  <si>
    <t>K0403241791</t>
  </si>
  <si>
    <t>1451</t>
  </si>
  <si>
    <t>LA BODEGONA</t>
  </si>
  <si>
    <t>9MNTT</t>
  </si>
  <si>
    <t>1172</t>
  </si>
  <si>
    <t>F2467</t>
  </si>
  <si>
    <t>K0403242005</t>
  </si>
  <si>
    <t>1159</t>
  </si>
  <si>
    <t>BUENA VISTA</t>
  </si>
  <si>
    <t>K0403241955</t>
  </si>
  <si>
    <t>1155</t>
  </si>
  <si>
    <t>VCENTE G</t>
  </si>
  <si>
    <t>K0403241951</t>
  </si>
  <si>
    <t>1181</t>
  </si>
  <si>
    <t>2018.05.07</t>
  </si>
  <si>
    <t>K0403242430</t>
  </si>
  <si>
    <t>1182</t>
  </si>
  <si>
    <t>TIA AMELIA</t>
  </si>
  <si>
    <t>K0403242462</t>
  </si>
  <si>
    <t>1201</t>
  </si>
  <si>
    <t>2018.05.08</t>
  </si>
  <si>
    <t>FLECHAS</t>
  </si>
  <si>
    <t>K0403243836</t>
  </si>
  <si>
    <t>1202</t>
  </si>
  <si>
    <t>K0403243982</t>
  </si>
  <si>
    <t>1199</t>
  </si>
  <si>
    <t>KINDER</t>
  </si>
  <si>
    <t>9L0DA</t>
  </si>
  <si>
    <t>K0403243696</t>
  </si>
  <si>
    <t>1198</t>
  </si>
  <si>
    <t>TOMBAK</t>
  </si>
  <si>
    <t>9DY6U</t>
  </si>
  <si>
    <t>K0403243734</t>
  </si>
  <si>
    <t>1261</t>
  </si>
  <si>
    <t>F0437</t>
  </si>
  <si>
    <t>1200</t>
  </si>
  <si>
    <t>F0662-1A SUR</t>
  </si>
  <si>
    <t>QU169</t>
  </si>
  <si>
    <t>K0403244046</t>
  </si>
  <si>
    <t>1304</t>
  </si>
  <si>
    <t>F2520-PROGRE</t>
  </si>
  <si>
    <t>K746R</t>
  </si>
  <si>
    <t>1207</t>
  </si>
  <si>
    <t>K0403244780</t>
  </si>
  <si>
    <t>1216</t>
  </si>
  <si>
    <t>2018.05.11</t>
  </si>
  <si>
    <t>F1108_PACU2</t>
  </si>
  <si>
    <t>K0403244954</t>
  </si>
  <si>
    <t>1223</t>
  </si>
  <si>
    <t>COPANO</t>
  </si>
  <si>
    <t>K0403245236</t>
  </si>
  <si>
    <t>1220</t>
  </si>
  <si>
    <t>K0403245054</t>
  </si>
  <si>
    <t>1217</t>
  </si>
  <si>
    <t>F1113_RANCHO</t>
  </si>
  <si>
    <t>K0403245082</t>
  </si>
  <si>
    <t>1238</t>
  </si>
  <si>
    <t>F0564-P.BOSQ</t>
  </si>
  <si>
    <t>K0403245440</t>
  </si>
  <si>
    <t>1306</t>
  </si>
  <si>
    <t>1225</t>
  </si>
  <si>
    <t>JERUSALEM</t>
  </si>
  <si>
    <t>K0403245107</t>
  </si>
  <si>
    <t>1230</t>
  </si>
  <si>
    <t>TRANS HOSPIT</t>
  </si>
  <si>
    <t>K0403245606</t>
  </si>
  <si>
    <t>1245</t>
  </si>
  <si>
    <t>F2258 S ANT</t>
  </si>
  <si>
    <t>1232</t>
  </si>
  <si>
    <t>K0403245645</t>
  </si>
  <si>
    <t>1233</t>
  </si>
  <si>
    <t>BAJIO</t>
  </si>
  <si>
    <t>K0403245666</t>
  </si>
  <si>
    <t>1242</t>
  </si>
  <si>
    <t>K0403245734</t>
  </si>
  <si>
    <t>1287</t>
  </si>
  <si>
    <t>F2360 HVO</t>
  </si>
  <si>
    <t>D-149</t>
  </si>
  <si>
    <t>9L0CA</t>
  </si>
  <si>
    <t>1279</t>
  </si>
  <si>
    <t>LINDA VISTA</t>
  </si>
  <si>
    <t>D-164</t>
  </si>
  <si>
    <t>1263</t>
  </si>
  <si>
    <t>K607R</t>
  </si>
  <si>
    <t>K0403246638</t>
  </si>
  <si>
    <t>1265</t>
  </si>
  <si>
    <t>F0404-7APONI</t>
  </si>
  <si>
    <t>K0403246496</t>
  </si>
  <si>
    <t>1268</t>
  </si>
  <si>
    <t>K0403246624</t>
  </si>
  <si>
    <t>1313</t>
  </si>
  <si>
    <t>K0403247950</t>
  </si>
  <si>
    <t>1302</t>
  </si>
  <si>
    <t>IXTAPA</t>
  </si>
  <si>
    <t>9DP0K</t>
  </si>
  <si>
    <t>K0403247682</t>
  </si>
  <si>
    <t>1578</t>
  </si>
  <si>
    <t>1366</t>
  </si>
  <si>
    <t>F0603-PINO S</t>
  </si>
  <si>
    <t>9DV0E</t>
  </si>
  <si>
    <t>1205</t>
  </si>
  <si>
    <t>F0682-DELICI</t>
  </si>
  <si>
    <t>K0403247971</t>
  </si>
  <si>
    <t>1365</t>
  </si>
  <si>
    <t>T0105-GASOLI</t>
  </si>
  <si>
    <t>1364</t>
  </si>
  <si>
    <t>1317</t>
  </si>
  <si>
    <t>2018.05.18</t>
  </si>
  <si>
    <t>F0573-COQUEL</t>
  </si>
  <si>
    <t>K0403248676</t>
  </si>
  <si>
    <t>1320</t>
  </si>
  <si>
    <t>2018.05.19</t>
  </si>
  <si>
    <t>K0403248725</t>
  </si>
  <si>
    <t>1322</t>
  </si>
  <si>
    <t>F0288-PEÑITA</t>
  </si>
  <si>
    <t>9DY7V</t>
  </si>
  <si>
    <t>K0403248715</t>
  </si>
  <si>
    <t>1338</t>
  </si>
  <si>
    <t>2018.05.20</t>
  </si>
  <si>
    <t>F2449-VALLE</t>
  </si>
  <si>
    <t>K0403248851</t>
  </si>
  <si>
    <t>1324</t>
  </si>
  <si>
    <t>F2863IGLESIA</t>
  </si>
  <si>
    <t>9FKFE</t>
  </si>
  <si>
    <t>K0403248831</t>
  </si>
  <si>
    <t>1333</t>
  </si>
  <si>
    <t>F0842</t>
  </si>
  <si>
    <t>K0403248839</t>
  </si>
  <si>
    <t>1360</t>
  </si>
  <si>
    <t>CUPASMI</t>
  </si>
  <si>
    <t>K0403248993</t>
  </si>
  <si>
    <t>1344</t>
  </si>
  <si>
    <t>K0403248910</t>
  </si>
  <si>
    <t>1343</t>
  </si>
  <si>
    <t>F0647-13MAY</t>
  </si>
  <si>
    <t>K0403248927</t>
  </si>
  <si>
    <t>1347</t>
  </si>
  <si>
    <t>3A SUR 1PTE</t>
  </si>
  <si>
    <t>K0403248920</t>
  </si>
  <si>
    <t>1389</t>
  </si>
  <si>
    <t>D-125A</t>
  </si>
  <si>
    <t>1359</t>
  </si>
  <si>
    <t>AMATAL</t>
  </si>
  <si>
    <t>K0403249154</t>
  </si>
  <si>
    <t>1370</t>
  </si>
  <si>
    <t>K0403249773</t>
  </si>
  <si>
    <t>1406</t>
  </si>
  <si>
    <t>MONTERRICO</t>
  </si>
  <si>
    <t>K0403250252</t>
  </si>
  <si>
    <t>1411</t>
  </si>
  <si>
    <t>F0862</t>
  </si>
  <si>
    <t>9FD91</t>
  </si>
  <si>
    <t>K0403251382</t>
  </si>
  <si>
    <t>1399</t>
  </si>
  <si>
    <t>2018.05.25</t>
  </si>
  <si>
    <t>F3319A</t>
  </si>
  <si>
    <t>1413</t>
  </si>
  <si>
    <t>F2246-SAN RA</t>
  </si>
  <si>
    <t>9MNTH</t>
  </si>
  <si>
    <t>K0403251446</t>
  </si>
  <si>
    <t>1409</t>
  </si>
  <si>
    <t>BRISAS 2</t>
  </si>
  <si>
    <t>K0403251468</t>
  </si>
  <si>
    <t>1502</t>
  </si>
  <si>
    <t>F0820-C.CAMP</t>
  </si>
  <si>
    <t>1432</t>
  </si>
  <si>
    <t>2018.05.28</t>
  </si>
  <si>
    <t>F0575-OLAM</t>
  </si>
  <si>
    <t>K0403251939</t>
  </si>
  <si>
    <t>1461</t>
  </si>
  <si>
    <t>K188R</t>
  </si>
  <si>
    <t>1433</t>
  </si>
  <si>
    <t>K0403252232</t>
  </si>
  <si>
    <t>1444</t>
  </si>
  <si>
    <t>2018.05.29</t>
  </si>
  <si>
    <t>F0220-B.AIRE</t>
  </si>
  <si>
    <t>K0403252605</t>
  </si>
  <si>
    <t>1442</t>
  </si>
  <si>
    <t>K0403253431</t>
  </si>
  <si>
    <t>1499</t>
  </si>
  <si>
    <t>2018.05.31</t>
  </si>
  <si>
    <t>PLAZA</t>
  </si>
  <si>
    <t>1475</t>
  </si>
  <si>
    <t>F0829-B.CALI</t>
  </si>
  <si>
    <t>K0403254340</t>
  </si>
  <si>
    <t>1474</t>
  </si>
  <si>
    <t>R-02A</t>
  </si>
  <si>
    <t>D-164- FALLA DE CONDUCTOR</t>
  </si>
  <si>
    <t>D-125A- DESCARGA ATMOSFERICA LINEA ROTA</t>
  </si>
  <si>
    <t>D-151A- LIBRANZA POR EMERGENCIA</t>
  </si>
  <si>
    <t>R-02A- FALLA DE CONDUCTOR</t>
  </si>
  <si>
    <t>D-151A- LIBRANZA DE EMERGENCIA</t>
  </si>
  <si>
    <t>Total 5010</t>
  </si>
  <si>
    <t>Total 5030</t>
  </si>
  <si>
    <t>Total GIA</t>
  </si>
  <si>
    <t>Total 4090</t>
  </si>
  <si>
    <t>Total 4060</t>
  </si>
  <si>
    <t>Total 4070</t>
  </si>
  <si>
    <t>Total 4100</t>
  </si>
  <si>
    <t>Total TGD</t>
  </si>
  <si>
    <t>Total JUY</t>
  </si>
  <si>
    <t>Total 4035</t>
  </si>
  <si>
    <t>Total 4045</t>
  </si>
  <si>
    <t>Total RDB</t>
  </si>
  <si>
    <t>Total 4052</t>
  </si>
  <si>
    <t>Total TXS</t>
  </si>
  <si>
    <t>Total COP</t>
  </si>
  <si>
    <t>Total AAA</t>
  </si>
  <si>
    <t>D-149- QUEMA O INCENDIO</t>
  </si>
  <si>
    <t>Total VFD</t>
  </si>
  <si>
    <t>Total 4080</t>
  </si>
  <si>
    <t>Total TGU</t>
  </si>
  <si>
    <t>Total TXN</t>
  </si>
  <si>
    <t>Total 4042</t>
  </si>
  <si>
    <t>Total IPD</t>
  </si>
  <si>
    <t>Total LGZ</t>
  </si>
  <si>
    <t>Total MAA</t>
  </si>
  <si>
    <t>Total SMJ</t>
  </si>
  <si>
    <t>Total SOY</t>
  </si>
  <si>
    <t>Total 73730</t>
  </si>
  <si>
    <t>Total ANG</t>
  </si>
  <si>
    <t>Duracion</t>
  </si>
  <si>
    <t>Suma de DEMUA</t>
  </si>
  <si>
    <t>Usuarios afec</t>
  </si>
  <si>
    <t>D-125J- DESCARGA ATMOSFERICA PUENTE ABIERTO</t>
  </si>
  <si>
    <t>D-147- INCENDIO O EXPLOSION</t>
  </si>
  <si>
    <t>SAIDI ZONA POR CAUSA</t>
  </si>
  <si>
    <t>ANALISIS DE RAMALES POR CIRCUITO ZONA TUXTLA</t>
  </si>
  <si>
    <t>CONFIABILIDAD POR MES ZONA TUXTLA</t>
  </si>
  <si>
    <t>Subestación</t>
  </si>
  <si>
    <t>Anomalias</t>
  </si>
  <si>
    <t>Troncal</t>
  </si>
  <si>
    <t>Encontradas</t>
  </si>
  <si>
    <t>Atendidas</t>
  </si>
  <si>
    <t>Pendientes</t>
  </si>
  <si>
    <t>SAIDI POR CIRCUITO VS MANTENIMIENTO</t>
  </si>
  <si>
    <t>D-141 CHOQUE O GOLPE</t>
  </si>
  <si>
    <t>AREA</t>
  </si>
  <si>
    <t>AREA FORANEA</t>
  </si>
  <si>
    <t>AREA URBANA</t>
  </si>
  <si>
    <t>AREA VILLAFLORES</t>
  </si>
  <si>
    <t>AREA CINTALAPA</t>
  </si>
  <si>
    <t>AREA BOCHIL</t>
  </si>
  <si>
    <t>LST</t>
  </si>
  <si>
    <t>FORANEA</t>
  </si>
  <si>
    <t>URBANA</t>
  </si>
  <si>
    <t>VILLAFLORES</t>
  </si>
  <si>
    <t>BOCHIL</t>
  </si>
  <si>
    <t>LINEAS</t>
  </si>
  <si>
    <t>PROTECCIONES</t>
  </si>
  <si>
    <t>SUBESTACIONES</t>
  </si>
  <si>
    <t>CONTROL</t>
  </si>
  <si>
    <t xml:space="preserve"> Real Zona 2018</t>
  </si>
  <si>
    <t>Meta Mensual 2018</t>
  </si>
  <si>
    <t xml:space="preserve"> Real Zona 2018 acumulado</t>
  </si>
  <si>
    <t xml:space="preserve">SUBESTACIONES </t>
  </si>
  <si>
    <t xml:space="preserve">CONTROL </t>
  </si>
  <si>
    <t xml:space="preserve">LINEAS DE SUBTRANSMISION </t>
  </si>
  <si>
    <t xml:space="preserve">PROTECCIONES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</si>
</sst>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00000"/>
    <numFmt numFmtId="167" formatCode="0.00000000"/>
  </numFmts>
  <fonts count="18"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1"/>
      <name val="Arial"/>
      <family val="2"/>
    </font>
    <font>
      <sz val="11"/>
      <color rgb="FF333333"/>
      <name val="Arial"/>
      <family val="2"/>
    </font>
    <font>
      <b/>
      <sz val="11"/>
      <color rgb="FFFF0000"/>
      <name val="Arial"/>
      <family val="2"/>
    </font>
    <font>
      <b/>
      <sz val="11"/>
      <color rgb="FF333333"/>
      <name val="Arial"/>
      <family val="2"/>
    </font>
    <font>
      <b/>
      <sz val="14"/>
      <color theme="1"/>
      <name val="Calibri"/>
      <family val="2"/>
      <scheme val="minor"/>
    </font>
    <font>
      <sz val="9"/>
      <color theme="1"/>
      <name val="Calibri"/>
      <family val="2"/>
      <scheme val="minor"/>
    </font>
    <font>
      <sz val="9"/>
      <color rgb="FF333333"/>
      <name val="Arial"/>
      <family val="2"/>
    </font>
    <font>
      <b/>
      <sz val="9"/>
      <color rgb="FFFFFFFF"/>
      <name val="Arial"/>
      <family val="2"/>
    </font>
    <font>
      <b/>
      <sz val="9"/>
      <color rgb="FF333333"/>
      <name val="Arial"/>
      <family val="2"/>
    </font>
    <font>
      <sz val="9"/>
      <color rgb="FFFF0000"/>
      <name val="Arial"/>
      <family val="2"/>
    </font>
    <font>
      <b/>
      <sz val="11"/>
      <color rgb="FF0000FF"/>
      <name val="Calibri"/>
      <family val="2"/>
      <scheme val="minor"/>
    </font>
    <font>
      <b/>
      <sz val="11"/>
      <color rgb="FF0000FF"/>
      <name val="Arial"/>
      <family val="2"/>
    </font>
    <font>
      <b/>
      <sz val="11"/>
      <color rgb="FF00B050"/>
      <name val="Arial"/>
      <family val="2"/>
    </font>
    <font>
      <b/>
      <sz val="11"/>
      <color rgb="FFFF0000"/>
      <name val="Calibri"/>
      <family val="2"/>
      <scheme val="minor"/>
    </font>
  </fonts>
  <fills count="13">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FFFFFF"/>
        <bgColor indexed="64"/>
      </patternFill>
    </fill>
    <fill>
      <patternFill patternType="solid">
        <fgColor rgb="FF696969"/>
        <bgColor indexed="64"/>
      </patternFill>
    </fill>
    <fill>
      <patternFill patternType="solid">
        <fgColor theme="9" tint="0.79998168889431442"/>
        <bgColor indexed="64"/>
      </patternFill>
    </fill>
  </fills>
  <borders count="25">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indexed="64"/>
      </top>
      <bottom/>
      <diagonal/>
    </border>
    <border>
      <left/>
      <right/>
      <top/>
      <bottom style="medium">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indexed="64"/>
      </bottom>
      <diagonal/>
    </border>
  </borders>
  <cellStyleXfs count="2">
    <xf numFmtId="0" fontId="0" fillId="0" borderId="0"/>
    <xf numFmtId="9" fontId="2" fillId="0" borderId="0" applyFont="0" applyFill="0" applyBorder="0" applyAlignment="0" applyProtection="0"/>
  </cellStyleXfs>
  <cellXfs count="183">
    <xf numFmtId="0" fontId="0" fillId="0" borderId="0" xfId="0"/>
    <xf numFmtId="0" fontId="0" fillId="0" borderId="0" xfId="0" applyFill="1" applyBorder="1" applyAlignment="1">
      <alignment horizontal="center"/>
    </xf>
    <xf numFmtId="0" fontId="0" fillId="0" borderId="2" xfId="0" applyBorder="1"/>
    <xf numFmtId="0" fontId="0" fillId="0" borderId="2" xfId="0" applyBorder="1" applyAlignment="1">
      <alignment horizontal="left"/>
    </xf>
    <xf numFmtId="0" fontId="0" fillId="0" borderId="2" xfId="0" applyNumberFormat="1" applyBorder="1"/>
    <xf numFmtId="0" fontId="0" fillId="0" borderId="0" xfId="0" applyAlignment="1">
      <alignment horizontal="center"/>
    </xf>
    <xf numFmtId="0" fontId="0" fillId="0" borderId="2" xfId="0" applyBorder="1" applyAlignment="1">
      <alignment horizontal="center"/>
    </xf>
    <xf numFmtId="0" fontId="0" fillId="0" borderId="2" xfId="0" applyNumberFormat="1" applyBorder="1" applyAlignment="1">
      <alignment horizontal="center"/>
    </xf>
    <xf numFmtId="0" fontId="0" fillId="3" borderId="2" xfId="0" applyFill="1" applyBorder="1" applyAlignment="1">
      <alignment horizontal="center"/>
    </xf>
    <xf numFmtId="0" fontId="0" fillId="3" borderId="2" xfId="0" applyFill="1" applyBorder="1"/>
    <xf numFmtId="0" fontId="0" fillId="0" borderId="2" xfId="0" applyFill="1" applyBorder="1" applyAlignment="1">
      <alignment horizontal="center"/>
    </xf>
    <xf numFmtId="164" fontId="0" fillId="0" borderId="4" xfId="0" applyNumberFormat="1" applyBorder="1" applyAlignment="1">
      <alignment horizontal="center"/>
    </xf>
    <xf numFmtId="164" fontId="1" fillId="0" borderId="2" xfId="0" applyNumberFormat="1" applyFont="1" applyBorder="1" applyAlignment="1">
      <alignment horizontal="center"/>
    </xf>
    <xf numFmtId="0" fontId="0" fillId="0" borderId="2" xfId="0" applyFill="1" applyBorder="1"/>
    <xf numFmtId="0" fontId="1" fillId="0" borderId="2" xfId="0" applyFont="1" applyFill="1" applyBorder="1" applyAlignment="1">
      <alignment horizontal="center"/>
    </xf>
    <xf numFmtId="10" fontId="0" fillId="0" borderId="2" xfId="1" applyNumberFormat="1" applyFont="1" applyFill="1" applyBorder="1" applyAlignment="1">
      <alignment horizontal="center"/>
    </xf>
    <xf numFmtId="164" fontId="0" fillId="0" borderId="2" xfId="0" applyNumberFormat="1" applyFill="1" applyBorder="1" applyAlignment="1">
      <alignment horizontal="center"/>
    </xf>
    <xf numFmtId="0" fontId="0" fillId="0" borderId="7" xfId="0" applyBorder="1"/>
    <xf numFmtId="2" fontId="0" fillId="0" borderId="2" xfId="0" applyNumberFormat="1" applyBorder="1" applyAlignment="1">
      <alignment horizontal="center"/>
    </xf>
    <xf numFmtId="0" fontId="1" fillId="0" borderId="1" xfId="0" applyFont="1" applyFill="1" applyBorder="1" applyAlignment="1">
      <alignment horizontal="center"/>
    </xf>
    <xf numFmtId="0" fontId="0" fillId="0" borderId="0" xfId="0" applyFill="1" applyBorder="1" applyAlignment="1">
      <alignment horizontal="center"/>
    </xf>
    <xf numFmtId="0" fontId="0" fillId="0" borderId="0" xfId="0" quotePrefix="1" applyFill="1" applyBorder="1" applyAlignment="1">
      <alignment horizontal="center"/>
    </xf>
    <xf numFmtId="20" fontId="0" fillId="0" borderId="0" xfId="0" applyNumberFormat="1" applyFill="1" applyBorder="1" applyAlignment="1">
      <alignment horizontal="center"/>
    </xf>
    <xf numFmtId="0" fontId="0" fillId="0" borderId="5" xfId="0" applyBorder="1"/>
    <xf numFmtId="0" fontId="0" fillId="0" borderId="9" xfId="0" applyBorder="1"/>
    <xf numFmtId="0" fontId="0" fillId="0" borderId="4" xfId="0" applyBorder="1"/>
    <xf numFmtId="0" fontId="0" fillId="0" borderId="1" xfId="0" applyBorder="1"/>
    <xf numFmtId="0" fontId="0" fillId="0" borderId="3" xfId="0" applyBorder="1"/>
    <xf numFmtId="0" fontId="0" fillId="0" borderId="3" xfId="0" applyBorder="1" applyAlignment="1">
      <alignment horizontal="center"/>
    </xf>
    <xf numFmtId="0" fontId="0" fillId="6" borderId="2" xfId="0" applyFill="1" applyBorder="1"/>
    <xf numFmtId="0" fontId="0" fillId="6" borderId="2" xfId="0" applyFill="1" applyBorder="1" applyAlignment="1">
      <alignment horizontal="center"/>
    </xf>
    <xf numFmtId="0" fontId="1" fillId="6" borderId="2" xfId="0" applyFont="1" applyFill="1" applyBorder="1" applyAlignment="1">
      <alignment horizontal="center"/>
    </xf>
    <xf numFmtId="0" fontId="0" fillId="6" borderId="2" xfId="0" applyFill="1" applyBorder="1" applyAlignment="1">
      <alignment horizontal="left"/>
    </xf>
    <xf numFmtId="0" fontId="0" fillId="6" borderId="2" xfId="0" applyNumberFormat="1" applyFill="1" applyBorder="1" applyAlignment="1">
      <alignment horizontal="center"/>
    </xf>
    <xf numFmtId="0" fontId="0" fillId="6" borderId="2" xfId="0" applyNumberFormat="1" applyFill="1" applyBorder="1"/>
    <xf numFmtId="164" fontId="0" fillId="0" borderId="2" xfId="0" applyNumberFormat="1" applyBorder="1"/>
    <xf numFmtId="164" fontId="0" fillId="0" borderId="2" xfId="0" applyNumberFormat="1" applyBorder="1" applyAlignment="1">
      <alignment horizontal="center"/>
    </xf>
    <xf numFmtId="164" fontId="1" fillId="6" borderId="2" xfId="0" applyNumberFormat="1" applyFont="1" applyFill="1" applyBorder="1"/>
    <xf numFmtId="0" fontId="4" fillId="7" borderId="11" xfId="0" applyFont="1" applyFill="1" applyBorder="1" applyAlignment="1">
      <alignment horizontal="center" vertical="center" wrapText="1"/>
    </xf>
    <xf numFmtId="0" fontId="4" fillId="7" borderId="0"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12"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5" fillId="0" borderId="15" xfId="0" applyFont="1" applyFill="1" applyBorder="1" applyAlignment="1">
      <alignment horizontal="center" vertical="center" wrapText="1"/>
    </xf>
    <xf numFmtId="165" fontId="5" fillId="0" borderId="16" xfId="0" applyNumberFormat="1" applyFont="1" applyFill="1" applyBorder="1" applyAlignment="1">
      <alignment horizontal="center" vertical="center" wrapText="1"/>
    </xf>
    <xf numFmtId="165" fontId="5" fillId="0" borderId="15" xfId="0" applyNumberFormat="1" applyFont="1" applyFill="1" applyBorder="1" applyAlignment="1">
      <alignment horizontal="center" vertical="center" wrapText="1"/>
    </xf>
    <xf numFmtId="165" fontId="6" fillId="0" borderId="15" xfId="0" applyNumberFormat="1" applyFont="1" applyFill="1" applyBorder="1" applyAlignment="1">
      <alignment horizontal="center" vertical="center" wrapText="1"/>
    </xf>
    <xf numFmtId="165" fontId="7" fillId="0" borderId="15" xfId="0" applyNumberFormat="1" applyFont="1" applyFill="1" applyBorder="1" applyAlignment="1">
      <alignment horizontal="center" vertical="center" wrapText="1"/>
    </xf>
    <xf numFmtId="164" fontId="7" fillId="0" borderId="15" xfId="0" applyNumberFormat="1" applyFont="1" applyFill="1" applyBorder="1" applyAlignment="1">
      <alignment horizontal="center" vertical="center" wrapText="1"/>
    </xf>
    <xf numFmtId="165" fontId="5" fillId="4" borderId="16" xfId="0" applyNumberFormat="1" applyFont="1" applyFill="1" applyBorder="1" applyAlignment="1">
      <alignment horizontal="center" vertical="center" wrapText="1"/>
    </xf>
    <xf numFmtId="165" fontId="6" fillId="4" borderId="16" xfId="0" applyNumberFormat="1" applyFont="1" applyFill="1" applyBorder="1" applyAlignment="1">
      <alignment horizontal="center" vertical="center" wrapText="1"/>
    </xf>
    <xf numFmtId="0" fontId="0" fillId="0" borderId="0" xfId="0" applyBorder="1"/>
    <xf numFmtId="0" fontId="1" fillId="0" borderId="2" xfId="0" applyFont="1" applyBorder="1"/>
    <xf numFmtId="0" fontId="0" fillId="0" borderId="2" xfId="0" applyBorder="1" applyAlignment="1"/>
    <xf numFmtId="0" fontId="0" fillId="0" borderId="0" xfId="0" applyBorder="1" applyAlignment="1">
      <alignment horizontal="center"/>
    </xf>
    <xf numFmtId="0" fontId="1" fillId="0" borderId="2" xfId="0" applyFont="1" applyBorder="1" applyAlignment="1">
      <alignment horizontal="center"/>
    </xf>
    <xf numFmtId="0" fontId="1" fillId="0" borderId="2" xfId="0" pivotButton="1" applyFont="1" applyBorder="1"/>
    <xf numFmtId="0" fontId="1" fillId="0" borderId="2" xfId="0" pivotButton="1" applyFont="1" applyBorder="1" applyAlignment="1">
      <alignment horizontal="center"/>
    </xf>
    <xf numFmtId="0" fontId="0" fillId="0" borderId="2" xfId="0" applyBorder="1" applyAlignment="1">
      <alignment horizontal="center" vertical="center"/>
    </xf>
    <xf numFmtId="0" fontId="0" fillId="0" borderId="2" xfId="0" applyBorder="1" applyAlignment="1">
      <alignment vertical="center"/>
    </xf>
    <xf numFmtId="0" fontId="0" fillId="0" borderId="2" xfId="0" applyBorder="1" applyAlignment="1">
      <alignment horizontal="center" vertical="center" wrapText="1"/>
    </xf>
    <xf numFmtId="0" fontId="1" fillId="0" borderId="15" xfId="0" applyFont="1" applyBorder="1" applyAlignment="1">
      <alignment horizontal="center" vertical="center" wrapText="1"/>
    </xf>
    <xf numFmtId="0" fontId="0" fillId="0" borderId="2" xfId="0" applyNumberFormat="1" applyBorder="1" applyAlignment="1">
      <alignment vertical="center"/>
    </xf>
    <xf numFmtId="9" fontId="0" fillId="0" borderId="2" xfId="1" applyFont="1" applyBorder="1" applyAlignment="1">
      <alignment horizontal="center" vertical="center"/>
    </xf>
    <xf numFmtId="3" fontId="0" fillId="0" borderId="2" xfId="0" applyNumberFormat="1" applyBorder="1" applyAlignment="1">
      <alignment horizontal="center" vertical="center"/>
    </xf>
    <xf numFmtId="0" fontId="0" fillId="0" borderId="2" xfId="0" applyNumberFormat="1" applyBorder="1" applyAlignment="1">
      <alignment horizontal="center" vertical="center"/>
    </xf>
    <xf numFmtId="14" fontId="0" fillId="0" borderId="2" xfId="0" applyNumberFormat="1" applyBorder="1" applyAlignment="1">
      <alignment horizontal="center"/>
    </xf>
    <xf numFmtId="14" fontId="0" fillId="0" borderId="2" xfId="0" applyNumberFormat="1" applyBorder="1" applyAlignment="1">
      <alignment horizontal="center" vertical="center"/>
    </xf>
    <xf numFmtId="0" fontId="0" fillId="0" borderId="2" xfId="0" applyBorder="1" applyAlignment="1">
      <alignment wrapText="1"/>
    </xf>
    <xf numFmtId="0" fontId="0" fillId="0" borderId="2" xfId="0" applyFill="1" applyBorder="1" applyAlignment="1">
      <alignment wrapText="1"/>
    </xf>
    <xf numFmtId="0" fontId="0" fillId="0" borderId="17" xfId="0" applyBorder="1" applyAlignment="1"/>
    <xf numFmtId="0" fontId="0" fillId="0" borderId="0" xfId="0" applyBorder="1" applyAlignment="1"/>
    <xf numFmtId="0" fontId="0" fillId="0" borderId="0" xfId="0" applyAlignment="1"/>
    <xf numFmtId="0" fontId="0" fillId="0" borderId="2" xfId="0" applyBorder="1" applyAlignment="1">
      <alignment horizontal="center" wrapText="1"/>
    </xf>
    <xf numFmtId="9" fontId="0" fillId="0" borderId="2" xfId="1" applyFont="1" applyBorder="1" applyAlignment="1">
      <alignment horizontal="center"/>
    </xf>
    <xf numFmtId="3" fontId="0" fillId="0" borderId="2" xfId="0" applyNumberFormat="1" applyBorder="1" applyAlignment="1">
      <alignment horizontal="center"/>
    </xf>
    <xf numFmtId="14" fontId="0" fillId="8" borderId="2" xfId="0" applyNumberFormat="1" applyFill="1" applyBorder="1" applyAlignment="1">
      <alignment horizontal="center"/>
    </xf>
    <xf numFmtId="0" fontId="0" fillId="8" borderId="2" xfId="0" applyFill="1" applyBorder="1"/>
    <xf numFmtId="2" fontId="0" fillId="0" borderId="2" xfId="0" applyNumberFormat="1" applyBorder="1"/>
    <xf numFmtId="0" fontId="0" fillId="0" borderId="8" xfId="0" applyBorder="1"/>
    <xf numFmtId="0" fontId="0" fillId="3" borderId="0" xfId="0" applyFill="1" applyBorder="1"/>
    <xf numFmtId="165" fontId="4" fillId="0" borderId="15" xfId="0" applyNumberFormat="1" applyFont="1" applyFill="1" applyBorder="1" applyAlignment="1">
      <alignment horizontal="center" vertical="center" wrapText="1"/>
    </xf>
    <xf numFmtId="0" fontId="0" fillId="0" borderId="2" xfId="0" applyFill="1" applyBorder="1" applyAlignment="1">
      <alignment horizontal="left"/>
    </xf>
    <xf numFmtId="0" fontId="0" fillId="0" borderId="2" xfId="0" applyNumberFormat="1" applyFill="1" applyBorder="1" applyAlignment="1">
      <alignment horizontal="center"/>
    </xf>
    <xf numFmtId="0" fontId="0" fillId="0" borderId="2" xfId="0" applyNumberFormat="1" applyFill="1" applyBorder="1"/>
    <xf numFmtId="0" fontId="0" fillId="0" borderId="4" xfId="0" applyFill="1" applyBorder="1"/>
    <xf numFmtId="0" fontId="0" fillId="0" borderId="18" xfId="0" applyFill="1" applyBorder="1" applyAlignment="1">
      <alignment horizontal="center"/>
    </xf>
    <xf numFmtId="0" fontId="0" fillId="0" borderId="18" xfId="0" quotePrefix="1" applyFill="1" applyBorder="1" applyAlignment="1">
      <alignment horizontal="center"/>
    </xf>
    <xf numFmtId="20" fontId="0" fillId="0" borderId="18" xfId="0" applyNumberFormat="1" applyFill="1" applyBorder="1" applyAlignment="1">
      <alignment horizontal="center"/>
    </xf>
    <xf numFmtId="0" fontId="0" fillId="3" borderId="4" xfId="0" applyFill="1" applyBorder="1"/>
    <xf numFmtId="0" fontId="0" fillId="3" borderId="1" xfId="0" applyFill="1" applyBorder="1"/>
    <xf numFmtId="0" fontId="0" fillId="3" borderId="3" xfId="0" applyFill="1" applyBorder="1"/>
    <xf numFmtId="0" fontId="0" fillId="3" borderId="2" xfId="0" applyNumberFormat="1" applyFill="1" applyBorder="1"/>
    <xf numFmtId="0" fontId="1" fillId="0" borderId="2" xfId="0" applyFont="1" applyBorder="1" applyAlignment="1">
      <alignment horizontal="center"/>
    </xf>
    <xf numFmtId="165" fontId="0" fillId="0" borderId="2" xfId="0" applyNumberFormat="1" applyBorder="1" applyAlignment="1">
      <alignment horizontal="center"/>
    </xf>
    <xf numFmtId="0" fontId="0" fillId="2" borderId="4" xfId="0" applyFill="1" applyBorder="1"/>
    <xf numFmtId="0" fontId="0" fillId="2" borderId="1" xfId="0" applyFill="1" applyBorder="1"/>
    <xf numFmtId="0" fontId="0" fillId="2" borderId="3" xfId="0" applyFill="1" applyBorder="1"/>
    <xf numFmtId="0" fontId="0" fillId="2" borderId="2" xfId="0" applyNumberFormat="1" applyFill="1" applyBorder="1"/>
    <xf numFmtId="0" fontId="1" fillId="2" borderId="4" xfId="0" applyFont="1" applyFill="1" applyBorder="1"/>
    <xf numFmtId="0" fontId="1" fillId="2" borderId="1" xfId="0" applyFont="1" applyFill="1" applyBorder="1"/>
    <xf numFmtId="0" fontId="1" fillId="2" borderId="3" xfId="0" applyFont="1" applyFill="1" applyBorder="1"/>
    <xf numFmtId="0" fontId="1" fillId="2" borderId="2" xfId="0" applyNumberFormat="1" applyFont="1" applyFill="1" applyBorder="1"/>
    <xf numFmtId="2" fontId="0" fillId="3" borderId="2" xfId="0" applyNumberFormat="1" applyFill="1" applyBorder="1" applyAlignment="1">
      <alignment horizontal="center"/>
    </xf>
    <xf numFmtId="2" fontId="0" fillId="2" borderId="2" xfId="0" applyNumberFormat="1" applyFill="1" applyBorder="1" applyAlignment="1">
      <alignment horizontal="center"/>
    </xf>
    <xf numFmtId="2" fontId="0" fillId="9" borderId="2" xfId="0" applyNumberFormat="1" applyFill="1" applyBorder="1" applyAlignment="1">
      <alignment horizontal="center"/>
    </xf>
    <xf numFmtId="2" fontId="1" fillId="2" borderId="2" xfId="0" applyNumberFormat="1" applyFont="1" applyFill="1" applyBorder="1" applyAlignment="1">
      <alignment horizontal="center"/>
    </xf>
    <xf numFmtId="2" fontId="0" fillId="0" borderId="0" xfId="0" applyNumberFormat="1" applyAlignment="1">
      <alignment horizontal="center"/>
    </xf>
    <xf numFmtId="0" fontId="0" fillId="0" borderId="17" xfId="0" applyBorder="1"/>
    <xf numFmtId="0" fontId="0" fillId="0" borderId="19" xfId="0" applyBorder="1"/>
    <xf numFmtId="0" fontId="0" fillId="0" borderId="0" xfId="0" applyNumberFormat="1" applyBorder="1"/>
    <xf numFmtId="0" fontId="0" fillId="0" borderId="21" xfId="0" applyNumberFormat="1" applyBorder="1"/>
    <xf numFmtId="0" fontId="0" fillId="0" borderId="20" xfId="0" applyNumberFormat="1" applyBorder="1"/>
    <xf numFmtId="0" fontId="0" fillId="0" borderId="7" xfId="0" applyNumberFormat="1" applyBorder="1"/>
    <xf numFmtId="0" fontId="0" fillId="3" borderId="20" xfId="0" applyNumberFormat="1" applyFill="1" applyBorder="1"/>
    <xf numFmtId="0" fontId="0" fillId="3" borderId="0" xfId="0" applyNumberFormat="1" applyFill="1" applyBorder="1"/>
    <xf numFmtId="0" fontId="0" fillId="3" borderId="21" xfId="0" applyNumberFormat="1" applyFill="1" applyBorder="1"/>
    <xf numFmtId="0" fontId="0" fillId="2" borderId="20" xfId="0" applyNumberFormat="1" applyFill="1" applyBorder="1"/>
    <xf numFmtId="0" fontId="0" fillId="2" borderId="0" xfId="0" applyNumberFormat="1" applyFill="1" applyBorder="1"/>
    <xf numFmtId="0" fontId="0" fillId="2" borderId="21" xfId="0" applyNumberFormat="1" applyFill="1" applyBorder="1"/>
    <xf numFmtId="0" fontId="0" fillId="0" borderId="2" xfId="0" pivotButton="1" applyBorder="1"/>
    <xf numFmtId="0" fontId="0" fillId="3" borderId="7" xfId="0" applyNumberFormat="1" applyFill="1" applyBorder="1"/>
    <xf numFmtId="2" fontId="0" fillId="0" borderId="5" xfId="0" applyNumberFormat="1" applyBorder="1" applyAlignment="1">
      <alignment horizontal="center"/>
    </xf>
    <xf numFmtId="2" fontId="0" fillId="2" borderId="7" xfId="0" applyNumberFormat="1" applyFill="1" applyBorder="1" applyAlignment="1">
      <alignment horizontal="center"/>
    </xf>
    <xf numFmtId="0" fontId="1" fillId="6" borderId="2" xfId="0" applyNumberFormat="1" applyFont="1" applyFill="1" applyBorder="1"/>
    <xf numFmtId="0" fontId="11" fillId="11" borderId="14" xfId="0" applyFont="1" applyFill="1" applyBorder="1" applyAlignment="1">
      <alignment horizontal="center" vertical="center" wrapText="1"/>
    </xf>
    <xf numFmtId="0" fontId="11" fillId="11" borderId="22" xfId="0" applyFont="1" applyFill="1" applyBorder="1" applyAlignment="1">
      <alignment horizontal="center" vertical="center" wrapText="1"/>
    </xf>
    <xf numFmtId="0" fontId="11" fillId="11" borderId="12" xfId="0" applyFont="1" applyFill="1" applyBorder="1" applyAlignment="1">
      <alignment horizontal="center" vertical="center" wrapText="1"/>
    </xf>
    <xf numFmtId="0" fontId="11" fillId="11" borderId="13" xfId="0" applyFont="1" applyFill="1" applyBorder="1" applyAlignment="1">
      <alignment horizontal="center" vertical="center" wrapText="1"/>
    </xf>
    <xf numFmtId="0" fontId="11" fillId="11" borderId="11" xfId="0" applyFont="1" applyFill="1" applyBorder="1" applyAlignment="1">
      <alignment horizontal="center" vertical="center" wrapText="1"/>
    </xf>
    <xf numFmtId="0" fontId="10" fillId="10" borderId="15" xfId="0" applyFont="1" applyFill="1" applyBorder="1" applyAlignment="1">
      <alignment horizontal="center" vertical="center" wrapText="1"/>
    </xf>
    <xf numFmtId="0" fontId="12" fillId="10" borderId="15" xfId="0" applyFont="1" applyFill="1" applyBorder="1" applyAlignment="1">
      <alignment horizontal="center" vertical="center" wrapText="1"/>
    </xf>
    <xf numFmtId="0" fontId="13" fillId="10" borderId="15" xfId="0" applyFont="1" applyFill="1" applyBorder="1" applyAlignment="1">
      <alignment horizontal="center" vertical="center" wrapText="1"/>
    </xf>
    <xf numFmtId="166" fontId="0" fillId="9" borderId="2" xfId="0" applyNumberFormat="1" applyFill="1" applyBorder="1" applyAlignment="1">
      <alignment horizontal="center"/>
    </xf>
    <xf numFmtId="166" fontId="0" fillId="0" borderId="2" xfId="0" applyNumberFormat="1" applyBorder="1"/>
    <xf numFmtId="166" fontId="0" fillId="3" borderId="2" xfId="0" applyNumberFormat="1" applyFill="1" applyBorder="1"/>
    <xf numFmtId="166" fontId="0" fillId="0" borderId="5" xfId="0" applyNumberFormat="1" applyBorder="1"/>
    <xf numFmtId="166" fontId="0" fillId="2" borderId="7" xfId="0" applyNumberFormat="1" applyFill="1" applyBorder="1"/>
    <xf numFmtId="166" fontId="0" fillId="0" borderId="2" xfId="0" applyNumberFormat="1" applyBorder="1" applyAlignment="1">
      <alignment horizontal="right"/>
    </xf>
    <xf numFmtId="166" fontId="0" fillId="2" borderId="2" xfId="0" applyNumberFormat="1" applyFill="1" applyBorder="1"/>
    <xf numFmtId="166" fontId="1" fillId="2" borderId="2" xfId="0" applyNumberFormat="1" applyFont="1" applyFill="1" applyBorder="1"/>
    <xf numFmtId="166" fontId="0" fillId="9" borderId="2" xfId="0" applyNumberFormat="1" applyFill="1" applyBorder="1"/>
    <xf numFmtId="166" fontId="0" fillId="0" borderId="0" xfId="0" applyNumberFormat="1"/>
    <xf numFmtId="0" fontId="5" fillId="7" borderId="2" xfId="0" applyFont="1" applyFill="1" applyBorder="1" applyAlignment="1">
      <alignment horizontal="center" vertical="center" wrapText="1"/>
    </xf>
    <xf numFmtId="165" fontId="7" fillId="7" borderId="23" xfId="0" applyNumberFormat="1" applyFont="1" applyFill="1" applyBorder="1" applyAlignment="1">
      <alignment horizontal="center" wrapText="1"/>
    </xf>
    <xf numFmtId="2" fontId="7" fillId="7" borderId="2" xfId="0" applyNumberFormat="1" applyFont="1" applyFill="1" applyBorder="1" applyAlignment="1">
      <alignment horizontal="center" wrapText="1"/>
    </xf>
    <xf numFmtId="165" fontId="4" fillId="7" borderId="23" xfId="0" applyNumberFormat="1" applyFont="1" applyFill="1" applyBorder="1" applyAlignment="1">
      <alignment horizontal="center" wrapText="1"/>
    </xf>
    <xf numFmtId="0" fontId="14" fillId="0" borderId="2" xfId="0" applyFont="1" applyBorder="1" applyAlignment="1">
      <alignment horizontal="center" wrapText="1"/>
    </xf>
    <xf numFmtId="165" fontId="15" fillId="12" borderId="3" xfId="0" applyNumberFormat="1" applyFont="1" applyFill="1" applyBorder="1" applyAlignment="1">
      <alignment horizontal="center" vertical="center" wrapText="1"/>
    </xf>
    <xf numFmtId="2" fontId="15" fillId="12" borderId="3" xfId="0" applyNumberFormat="1" applyFont="1" applyFill="1" applyBorder="1" applyAlignment="1">
      <alignment horizontal="center" vertical="center" wrapText="1"/>
    </xf>
    <xf numFmtId="167" fontId="0" fillId="0" borderId="2" xfId="0" applyNumberFormat="1" applyBorder="1"/>
    <xf numFmtId="167" fontId="0" fillId="6" borderId="2" xfId="0" applyNumberFormat="1" applyFill="1" applyBorder="1"/>
    <xf numFmtId="2" fontId="0" fillId="0" borderId="0" xfId="0" applyNumberFormat="1"/>
    <xf numFmtId="165" fontId="16" fillId="0" borderId="15" xfId="0" applyNumberFormat="1" applyFont="1" applyFill="1" applyBorder="1" applyAlignment="1">
      <alignment horizontal="center" vertical="center" wrapText="1"/>
    </xf>
    <xf numFmtId="2" fontId="17" fillId="0" borderId="2" xfId="0" applyNumberFormat="1" applyFont="1" applyBorder="1" applyAlignment="1">
      <alignment horizontal="center"/>
    </xf>
    <xf numFmtId="0" fontId="1" fillId="0" borderId="0" xfId="0" applyFont="1" applyFill="1" applyBorder="1" applyAlignment="1">
      <alignment horizontal="center"/>
    </xf>
    <xf numFmtId="0" fontId="0" fillId="0" borderId="0" xfId="0" applyAlignment="1">
      <alignment horizontal="left" wrapText="1"/>
    </xf>
    <xf numFmtId="0" fontId="0" fillId="5" borderId="2" xfId="0" applyFill="1" applyBorder="1" applyAlignment="1">
      <alignment horizontal="center"/>
    </xf>
    <xf numFmtId="0" fontId="0" fillId="0" borderId="2" xfId="0" applyBorder="1" applyAlignment="1">
      <alignment horizontal="center" vertical="center" wrapText="1"/>
    </xf>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9" fillId="0" borderId="2" xfId="0" applyFont="1" applyBorder="1" applyAlignment="1">
      <alignment horizontal="center" vertical="center" wrapText="1"/>
    </xf>
    <xf numFmtId="0" fontId="0" fillId="0" borderId="0" xfId="0" applyAlignment="1">
      <alignment horizontal="center" vertical="center" wrapText="1"/>
    </xf>
    <xf numFmtId="0" fontId="1" fillId="0" borderId="7" xfId="0" applyFont="1" applyBorder="1" applyAlignment="1">
      <alignment horizontal="center"/>
    </xf>
    <xf numFmtId="0" fontId="1" fillId="0" borderId="8" xfId="0" applyFont="1" applyBorder="1" applyAlignment="1">
      <alignment horizontal="center"/>
    </xf>
    <xf numFmtId="0" fontId="1" fillId="0" borderId="10" xfId="0" applyFont="1" applyBorder="1" applyAlignment="1">
      <alignment horizontal="center"/>
    </xf>
    <xf numFmtId="0" fontId="0" fillId="5" borderId="8" xfId="0" applyFill="1" applyBorder="1" applyAlignment="1">
      <alignment horizontal="center"/>
    </xf>
    <xf numFmtId="0" fontId="0" fillId="5" borderId="6" xfId="0" applyFill="1" applyBorder="1" applyAlignment="1">
      <alignment horizontal="center"/>
    </xf>
    <xf numFmtId="0" fontId="0" fillId="0" borderId="2" xfId="0" applyBorder="1" applyAlignment="1">
      <alignment horizontal="center" wrapText="1"/>
    </xf>
    <xf numFmtId="0" fontId="9" fillId="0" borderId="2" xfId="0" applyFont="1" applyBorder="1" applyAlignment="1">
      <alignment horizontal="center" wrapText="1"/>
    </xf>
    <xf numFmtId="0" fontId="5" fillId="0" borderId="14"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24" xfId="0" applyFont="1" applyBorder="1" applyAlignment="1">
      <alignment horizontal="center" vertical="center" wrapText="1"/>
    </xf>
    <xf numFmtId="0" fontId="5" fillId="7" borderId="2" xfId="0" applyFont="1" applyFill="1" applyBorder="1" applyAlignment="1">
      <alignment horizontal="center" vertical="center" wrapText="1"/>
    </xf>
    <xf numFmtId="0" fontId="14" fillId="0" borderId="2" xfId="0" applyFont="1" applyBorder="1" applyAlignment="1">
      <alignment horizontal="center" vertical="center" wrapText="1"/>
    </xf>
    <xf numFmtId="0" fontId="8" fillId="5" borderId="2" xfId="0" applyFont="1" applyFill="1" applyBorder="1" applyAlignment="1">
      <alignment horizontal="center"/>
    </xf>
    <xf numFmtId="0" fontId="5" fillId="0" borderId="14"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3" fillId="2" borderId="2" xfId="0" applyFont="1" applyFill="1" applyBorder="1" applyAlignment="1">
      <alignment horizontal="center"/>
    </xf>
    <xf numFmtId="0" fontId="10" fillId="10" borderId="13" xfId="0" applyFont="1" applyFill="1" applyBorder="1" applyAlignment="1">
      <alignment horizontal="center" vertical="center" wrapText="1"/>
    </xf>
    <xf numFmtId="0" fontId="10" fillId="10" borderId="12" xfId="0" applyFont="1" applyFill="1" applyBorder="1" applyAlignment="1">
      <alignment horizontal="center" vertical="center" wrapText="1"/>
    </xf>
    <xf numFmtId="0" fontId="3" fillId="2" borderId="6" xfId="0" applyFont="1" applyFill="1" applyBorder="1" applyAlignment="1">
      <alignment horizontal="center"/>
    </xf>
  </cellXfs>
  <cellStyles count="2">
    <cellStyle name="Normal" xfId="0" builtinId="0"/>
    <cellStyle name="Porcentaje" xfId="1" builtinId="5"/>
  </cellStyles>
  <dxfs count="510">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bottom style="thin">
          <color indexed="64"/>
        </bottom>
        <vertical style="thin">
          <color indexed="64"/>
        </vertical>
        <horizontal style="thin">
          <color indexed="64"/>
        </horizontal>
      </border>
    </dxf>
    <dxf>
      <border>
        <top style="thin">
          <color indexed="64"/>
        </top>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bgColor rgb="FF92D050"/>
        </patternFill>
      </fill>
    </dxf>
    <dxf>
      <fill>
        <patternFill>
          <bgColor rgb="FF92D050"/>
        </patternFill>
      </fill>
    </dxf>
    <dxf>
      <fill>
        <patternFill patternType="solid">
          <bgColor rgb="FF00B050"/>
        </patternFill>
      </fill>
    </dxf>
    <dxf>
      <fill>
        <patternFill patternType="solid">
          <bgColor rgb="FF00B050"/>
        </patternFill>
      </fill>
    </dxf>
    <dxf>
      <fill>
        <patternFill>
          <bgColor rgb="FF92D050"/>
        </patternFill>
      </fill>
    </dxf>
    <dxf>
      <fill>
        <patternFill>
          <bgColor rgb="FF92D050"/>
        </patternFill>
      </fill>
    </dxf>
    <dxf>
      <fill>
        <patternFill patternType="solid">
          <bgColor rgb="FF92D050"/>
        </patternFill>
      </fill>
    </dxf>
    <dxf>
      <fill>
        <patternFill patternType="solid">
          <bgColor theme="5" tint="-0.249977111117893"/>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bgColor rgb="FF92D050"/>
        </patternFill>
      </fill>
    </dxf>
    <dxf>
      <fill>
        <patternFill>
          <bgColor rgb="FF92D050"/>
        </patternFill>
      </fill>
    </dxf>
    <dxf>
      <fill>
        <patternFill>
          <bgColor rgb="FF92D050"/>
        </patternFill>
      </fill>
    </dxf>
    <dxf>
      <fill>
        <patternFill>
          <bgColor rgb="FF92D050"/>
        </patternFill>
      </fill>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fill>
        <patternFill>
          <bgColor rgb="FFFF0000"/>
        </patternFill>
      </fill>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alignment horizontal="center" readingOrder="0"/>
    </dxf>
    <dxf>
      <alignment horizontal="center" readingOrder="0"/>
    </dxf>
    <dxf>
      <alignment horizontal="center" readingOrder="0"/>
    </dxf>
    <dxf>
      <font>
        <b/>
      </font>
    </dxf>
    <dxf>
      <font>
        <b/>
      </font>
    </dxf>
    <dxf>
      <font>
        <b/>
      </font>
    </dxf>
    <dxf>
      <font>
        <b/>
      </font>
    </dxf>
    <dxf>
      <font>
        <b/>
      </font>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bottom style="thin">
          <color indexed="64"/>
        </bottom>
        <vertical style="thin">
          <color indexed="64"/>
        </vertical>
        <horizontal style="thin">
          <color indexed="64"/>
        </horizontal>
      </border>
    </dxf>
    <dxf>
      <border>
        <right style="thin">
          <color indexed="64"/>
        </right>
        <vertical style="thin">
          <color indexed="64"/>
        </vertical>
      </border>
    </dxf>
    <dxf>
      <border>
        <right style="thin">
          <color indexed="64"/>
        </right>
        <vertical style="thin">
          <color indexed="64"/>
        </vertical>
      </border>
    </dxf>
    <dxf>
      <fill>
        <patternFill>
          <bgColor rgb="FFFF0000"/>
        </patternFill>
      </fill>
    </dxf>
    <dxf>
      <fill>
        <patternFill>
          <bgColor rgb="FF92D050"/>
        </patternFill>
      </fill>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top style="thin">
          <color indexed="64"/>
        </top>
        <bottom style="thin">
          <color indexed="64"/>
        </bottom>
      </border>
    </dxf>
    <dxf>
      <border>
        <bottom style="thin">
          <color indexed="64"/>
        </bottom>
      </border>
    </dxf>
    <dxf>
      <border>
        <bottom style="thin">
          <color indexed="64"/>
        </bottom>
        <vertical style="thin">
          <color indexed="64"/>
        </vertical>
        <horizontal style="thin">
          <color indexed="64"/>
        </horizontal>
      </border>
    </dxf>
    <dxf>
      <border>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bottom style="thin">
          <color indexed="64"/>
        </bottom>
      </border>
    </dxf>
    <dxf>
      <border>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top style="thin">
          <color indexed="64"/>
        </top>
      </border>
    </dxf>
    <dxf>
      <border>
        <top style="thin">
          <color indexed="64"/>
        </top>
        <bottom style="thin">
          <color indexed="64"/>
        </bottom>
        <vertical style="thin">
          <color indexed="64"/>
        </vertical>
        <horizontal style="thin">
          <color indexed="64"/>
        </horizontal>
      </border>
    </dxf>
    <dxf>
      <border>
        <top style="thin">
          <color indexed="64"/>
        </top>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bottom style="thin">
          <color indexed="64"/>
        </bottom>
        <vertical style="thin">
          <color indexed="64"/>
        </vertical>
      </border>
    </dxf>
    <dxf>
      <border>
        <bottom style="thin">
          <color indexed="64"/>
        </bottom>
        <vertical style="thin">
          <color indexed="64"/>
        </vertic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font>
    </dxf>
    <dxf>
      <font>
        <b/>
      </font>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SAIDI sin eventos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4.9335717093334341E-2"/>
          <c:y val="3.5378548695905766E-2"/>
          <c:w val="0.89655796150481193"/>
          <c:h val="0.49294327792359288"/>
        </c:manualLayout>
      </c:layout>
      <c:barChart>
        <c:barDir val="col"/>
        <c:grouping val="clustered"/>
        <c:varyColors val="0"/>
        <c:ser>
          <c:idx val="0"/>
          <c:order val="0"/>
          <c:tx>
            <c:strRef>
              <c:f>'[1]saidi Mensual'!$B$16</c:f>
              <c:strCache>
                <c:ptCount val="1"/>
                <c:pt idx="0">
                  <c:v>real 17</c:v>
                </c:pt>
              </c:strCache>
            </c:strRef>
          </c:tx>
          <c:spPr>
            <a:solidFill>
              <a:schemeClr val="accent1"/>
            </a:solidFill>
            <a:ln>
              <a:noFill/>
            </a:ln>
            <a:effectLst/>
          </c:spPr>
          <c:invertIfNegative val="0"/>
          <c:cat>
            <c:strRef>
              <c:f>'[1]saidi Mensual'!$C$15:$N$15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'[1]saidi Mensual'!$C$16:$N$16</c:f>
              <c:numCache>
                <c:formatCode>General</c:formatCode>
                <c:ptCount val="12"/>
                <c:pt idx="0">
                  <c:v>1.17</c:v>
                </c:pt>
                <c:pt idx="1">
                  <c:v>0.74</c:v>
                </c:pt>
                <c:pt idx="2">
                  <c:v>1.72</c:v>
                </c:pt>
                <c:pt idx="3">
                  <c:v>6.94</c:v>
                </c:pt>
                <c:pt idx="4">
                  <c:v>5.43</c:v>
                </c:pt>
                <c:pt idx="5">
                  <c:v>2.66</c:v>
                </c:pt>
                <c:pt idx="6">
                  <c:v>1.91</c:v>
                </c:pt>
                <c:pt idx="7">
                  <c:v>5.46</c:v>
                </c:pt>
                <c:pt idx="8">
                  <c:v>2.46</c:v>
                </c:pt>
                <c:pt idx="9">
                  <c:v>3.98</c:v>
                </c:pt>
                <c:pt idx="10">
                  <c:v>1.97</c:v>
                </c:pt>
                <c:pt idx="11">
                  <c:v>1.03</c:v>
                </c:pt>
              </c:numCache>
            </c:numRef>
          </c:val>
          <c:extLst>
            <c:ext xmlns:c16="http://schemas.microsoft.com/office/drawing/2014/chart" uri="{C3380CC4-5D6E-409C-BE32-E72D297353CC}">
              <c16:uniqueId val="{00000000-66E6-4D17-A5B1-E4D3F486AF7C}"/>
            </c:ext>
          </c:extLst>
        </c:ser>
        <c:ser>
          <c:idx val="1"/>
          <c:order val="1"/>
          <c:tx>
            <c:strRef>
              <c:f>'[1]saidi Mensual'!$B$17</c:f>
              <c:strCache>
                <c:ptCount val="1"/>
                <c:pt idx="0">
                  <c:v>meta 18</c:v>
                </c:pt>
              </c:strCache>
            </c:strRef>
          </c:tx>
          <c:spPr>
            <a:solidFill>
              <a:schemeClr val="accent2"/>
            </a:solidFill>
            <a:ln>
              <a:noFill/>
            </a:ln>
            <a:effectLst/>
          </c:spPr>
          <c:invertIfNegative val="0"/>
          <c:cat>
            <c:strRef>
              <c:f>'[1]saidi Mensual'!$C$15:$N$15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'[1]saidi Mensual'!$C$17:$N$17</c:f>
              <c:numCache>
                <c:formatCode>General</c:formatCode>
                <c:ptCount val="12"/>
                <c:pt idx="0">
                  <c:v>1.1200000000000001</c:v>
                </c:pt>
                <c:pt idx="1">
                  <c:v>0.7</c:v>
                </c:pt>
                <c:pt idx="2">
                  <c:v>1.63</c:v>
                </c:pt>
                <c:pt idx="3">
                  <c:v>6.57</c:v>
                </c:pt>
                <c:pt idx="4">
                  <c:v>5.12</c:v>
                </c:pt>
                <c:pt idx="5">
                  <c:v>2.48</c:v>
                </c:pt>
                <c:pt idx="6">
                  <c:v>1.78</c:v>
                </c:pt>
                <c:pt idx="7">
                  <c:v>5.13</c:v>
                </c:pt>
                <c:pt idx="8">
                  <c:v>2.33</c:v>
                </c:pt>
                <c:pt idx="9">
                  <c:v>3.71</c:v>
                </c:pt>
                <c:pt idx="10">
                  <c:v>1.85</c:v>
                </c:pt>
                <c:pt idx="11">
                  <c:v>2.5</c:v>
                </c:pt>
              </c:numCache>
            </c:numRef>
          </c:val>
          <c:extLst>
            <c:ext xmlns:c16="http://schemas.microsoft.com/office/drawing/2014/chart" uri="{C3380CC4-5D6E-409C-BE32-E72D297353CC}">
              <c16:uniqueId val="{00000001-66E6-4D17-A5B1-E4D3F486AF7C}"/>
            </c:ext>
          </c:extLst>
        </c:ser>
        <c:ser>
          <c:idx val="2"/>
          <c:order val="2"/>
          <c:tx>
            <c:strRef>
              <c:f>'[1]saidi Mensual'!$B$18</c:f>
              <c:strCache>
                <c:ptCount val="1"/>
                <c:pt idx="0">
                  <c:v>real 18</c:v>
                </c:pt>
              </c:strCache>
            </c:strRef>
          </c:tx>
          <c:spPr>
            <a:solidFill>
              <a:schemeClr val="accent3"/>
            </a:solidFill>
            <a:ln>
              <a:noFill/>
            </a:ln>
            <a:effectLst/>
          </c:spPr>
          <c:invertIfNegative val="0"/>
          <c:cat>
            <c:strRef>
              <c:f>'[1]saidi Mensual'!$C$15:$N$15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'[1]saidi Mensual'!$C$18:$N$18</c:f>
              <c:numCache>
                <c:formatCode>General</c:formatCode>
                <c:ptCount val="12"/>
                <c:pt idx="0">
                  <c:v>3.58</c:v>
                </c:pt>
                <c:pt idx="1">
                  <c:v>0.6</c:v>
                </c:pt>
                <c:pt idx="2">
                  <c:v>1.85</c:v>
                </c:pt>
                <c:pt idx="3">
                  <c:v>1.32</c:v>
                </c:pt>
                <c:pt idx="4">
                  <c:v>3.35</c:v>
                </c:pt>
              </c:numCache>
            </c:numRef>
          </c:val>
          <c:extLst>
            <c:ext xmlns:c16="http://schemas.microsoft.com/office/drawing/2014/chart" uri="{C3380CC4-5D6E-409C-BE32-E72D297353CC}">
              <c16:uniqueId val="{00000002-66E6-4D17-A5B1-E4D3F486AF7C}"/>
            </c:ext>
          </c:extLst>
        </c:ser>
        <c:dLbls>
          <c:showLegendKey val="0"/>
          <c:showVal val="0"/>
          <c:showCatName val="0"/>
          <c:showSerName val="0"/>
          <c:showPercent val="0"/>
          <c:showBubbleSize val="0"/>
        </c:dLbls>
        <c:gapWidth val="219"/>
        <c:axId val="482462016"/>
        <c:axId val="483077528"/>
      </c:barChart>
      <c:catAx>
        <c:axId val="48246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3077528"/>
        <c:crosses val="autoZero"/>
        <c:auto val="1"/>
        <c:lblAlgn val="ctr"/>
        <c:lblOffset val="100"/>
        <c:noMultiLvlLbl val="0"/>
      </c:catAx>
      <c:valAx>
        <c:axId val="483077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2462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SAIDI sin eventos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4.9335717093334341E-2"/>
          <c:y val="3.5378548695905766E-2"/>
          <c:w val="0.89655796150481193"/>
          <c:h val="0.49294327792359288"/>
        </c:manualLayout>
      </c:layout>
      <c:barChart>
        <c:barDir val="col"/>
        <c:grouping val="clustered"/>
        <c:varyColors val="0"/>
        <c:ser>
          <c:idx val="0"/>
          <c:order val="0"/>
          <c:tx>
            <c:strRef>
              <c:f>'[1]saidi Acumulado'!$B$17</c:f>
              <c:strCache>
                <c:ptCount val="1"/>
                <c:pt idx="0">
                  <c:v>real 17</c:v>
                </c:pt>
              </c:strCache>
            </c:strRef>
          </c:tx>
          <c:spPr>
            <a:solidFill>
              <a:schemeClr val="accent1"/>
            </a:solidFill>
            <a:ln>
              <a:noFill/>
            </a:ln>
            <a:effectLst/>
          </c:spPr>
          <c:invertIfNegative val="0"/>
          <c:cat>
            <c:strRef>
              <c:f>'[1]saidi Acumulado'!$C$16:$N$16</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'[1]saidi Acumulado'!$C$17:$N$17</c:f>
              <c:numCache>
                <c:formatCode>General</c:formatCode>
                <c:ptCount val="12"/>
                <c:pt idx="0">
                  <c:v>1.17</c:v>
                </c:pt>
                <c:pt idx="1">
                  <c:v>1.91</c:v>
                </c:pt>
                <c:pt idx="2">
                  <c:v>3.63</c:v>
                </c:pt>
                <c:pt idx="3">
                  <c:v>10.57</c:v>
                </c:pt>
                <c:pt idx="4">
                  <c:v>16</c:v>
                </c:pt>
                <c:pt idx="5">
                  <c:v>18.66</c:v>
                </c:pt>
                <c:pt idx="6">
                  <c:v>20.57</c:v>
                </c:pt>
                <c:pt idx="7">
                  <c:v>26.03</c:v>
                </c:pt>
                <c:pt idx="8">
                  <c:v>28.490000000000002</c:v>
                </c:pt>
                <c:pt idx="9">
                  <c:v>32.47</c:v>
                </c:pt>
                <c:pt idx="10">
                  <c:v>34.44</c:v>
                </c:pt>
                <c:pt idx="11">
                  <c:v>35.47</c:v>
                </c:pt>
              </c:numCache>
            </c:numRef>
          </c:val>
          <c:extLst>
            <c:ext xmlns:c16="http://schemas.microsoft.com/office/drawing/2014/chart" uri="{C3380CC4-5D6E-409C-BE32-E72D297353CC}">
              <c16:uniqueId val="{00000000-8A0A-4CDE-952B-1BF056CF5D83}"/>
            </c:ext>
          </c:extLst>
        </c:ser>
        <c:ser>
          <c:idx val="1"/>
          <c:order val="1"/>
          <c:tx>
            <c:strRef>
              <c:f>'[1]saidi Acumulado'!$B$18</c:f>
              <c:strCache>
                <c:ptCount val="1"/>
                <c:pt idx="0">
                  <c:v>meta 18</c:v>
                </c:pt>
              </c:strCache>
            </c:strRef>
          </c:tx>
          <c:spPr>
            <a:solidFill>
              <a:schemeClr val="accent2"/>
            </a:solidFill>
            <a:ln>
              <a:noFill/>
            </a:ln>
            <a:effectLst/>
          </c:spPr>
          <c:invertIfNegative val="0"/>
          <c:cat>
            <c:strRef>
              <c:f>'[1]saidi Acumulado'!$C$16:$N$16</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'[1]saidi Acumulado'!$C$18:$N$18</c:f>
              <c:numCache>
                <c:formatCode>General</c:formatCode>
                <c:ptCount val="12"/>
                <c:pt idx="0">
                  <c:v>1.1200000000000001</c:v>
                </c:pt>
                <c:pt idx="1">
                  <c:v>1.82</c:v>
                </c:pt>
                <c:pt idx="2">
                  <c:v>3.45</c:v>
                </c:pt>
                <c:pt idx="3">
                  <c:v>10.02</c:v>
                </c:pt>
                <c:pt idx="4">
                  <c:v>15.14</c:v>
                </c:pt>
                <c:pt idx="5">
                  <c:v>17.62</c:v>
                </c:pt>
                <c:pt idx="6">
                  <c:v>19.400000000000002</c:v>
                </c:pt>
                <c:pt idx="7">
                  <c:v>24.53</c:v>
                </c:pt>
                <c:pt idx="8">
                  <c:v>26.86</c:v>
                </c:pt>
                <c:pt idx="9">
                  <c:v>30.57</c:v>
                </c:pt>
                <c:pt idx="10">
                  <c:v>32.42</c:v>
                </c:pt>
                <c:pt idx="11">
                  <c:v>34.92</c:v>
                </c:pt>
              </c:numCache>
            </c:numRef>
          </c:val>
          <c:extLst>
            <c:ext xmlns:c16="http://schemas.microsoft.com/office/drawing/2014/chart" uri="{C3380CC4-5D6E-409C-BE32-E72D297353CC}">
              <c16:uniqueId val="{00000001-8A0A-4CDE-952B-1BF056CF5D83}"/>
            </c:ext>
          </c:extLst>
        </c:ser>
        <c:ser>
          <c:idx val="2"/>
          <c:order val="2"/>
          <c:tx>
            <c:strRef>
              <c:f>'[1]saidi Acumulado'!$B$19</c:f>
              <c:strCache>
                <c:ptCount val="1"/>
                <c:pt idx="0">
                  <c:v>real 18</c:v>
                </c:pt>
              </c:strCache>
            </c:strRef>
          </c:tx>
          <c:spPr>
            <a:solidFill>
              <a:schemeClr val="accent3"/>
            </a:solidFill>
            <a:ln>
              <a:noFill/>
            </a:ln>
            <a:effectLst/>
          </c:spPr>
          <c:invertIfNegative val="0"/>
          <c:cat>
            <c:strRef>
              <c:f>'[1]saidi Acumulado'!$C$16:$N$16</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'[1]saidi Acumulado'!$C$19:$N$19</c:f>
              <c:numCache>
                <c:formatCode>General</c:formatCode>
                <c:ptCount val="12"/>
                <c:pt idx="0">
                  <c:v>3.58</c:v>
                </c:pt>
                <c:pt idx="1">
                  <c:v>4.18</c:v>
                </c:pt>
                <c:pt idx="2">
                  <c:v>6.0299999999999994</c:v>
                </c:pt>
                <c:pt idx="3">
                  <c:v>7.35</c:v>
                </c:pt>
                <c:pt idx="4">
                  <c:v>10.7</c:v>
                </c:pt>
              </c:numCache>
            </c:numRef>
          </c:val>
          <c:extLst>
            <c:ext xmlns:c16="http://schemas.microsoft.com/office/drawing/2014/chart" uri="{C3380CC4-5D6E-409C-BE32-E72D297353CC}">
              <c16:uniqueId val="{00000002-8A0A-4CDE-952B-1BF056CF5D83}"/>
            </c:ext>
          </c:extLst>
        </c:ser>
        <c:dLbls>
          <c:showLegendKey val="0"/>
          <c:showVal val="0"/>
          <c:showCatName val="0"/>
          <c:showSerName val="0"/>
          <c:showPercent val="0"/>
          <c:showBubbleSize val="0"/>
        </c:dLbls>
        <c:gapWidth val="219"/>
        <c:axId val="482994864"/>
        <c:axId val="482995248"/>
      </c:barChart>
      <c:catAx>
        <c:axId val="48299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2995248"/>
        <c:crosses val="autoZero"/>
        <c:auto val="1"/>
        <c:lblAlgn val="ctr"/>
        <c:lblOffset val="100"/>
        <c:noMultiLvlLbl val="0"/>
      </c:catAx>
      <c:valAx>
        <c:axId val="48299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299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180975</xdr:rowOff>
    </xdr:from>
    <xdr:to>
      <xdr:col>6</xdr:col>
      <xdr:colOff>133350</xdr:colOff>
      <xdr:row>12</xdr:row>
      <xdr:rowOff>57150</xdr:rowOff>
    </xdr:to>
    <xdr:graphicFrame macro="">
      <xdr:nvGraphicFramePr>
        <xdr:cNvPr id="2" name="Gráfico 1">
          <a:extLst>
            <a:ext uri="{FF2B5EF4-FFF2-40B4-BE49-F238E27FC236}">
              <a16:creationId xmlns:a16="http://schemas.microsoft.com/office/drawing/2014/main" id="{D11A6DAA-8711-45B3-B8B2-9C3B416C5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833437</xdr:colOff>
      <xdr:row>19</xdr:row>
      <xdr:rowOff>175522</xdr:rowOff>
    </xdr:from>
    <xdr:to>
      <xdr:col>10</xdr:col>
      <xdr:colOff>1381125</xdr:colOff>
      <xdr:row>38</xdr:row>
      <xdr:rowOff>182934</xdr:rowOff>
    </xdr:to>
    <xdr:pic>
      <xdr:nvPicPr>
        <xdr:cNvPr id="3" name="Imagen 2">
          <a:extLst>
            <a:ext uri="{FF2B5EF4-FFF2-40B4-BE49-F238E27FC236}">
              <a16:creationId xmlns:a16="http://schemas.microsoft.com/office/drawing/2014/main" id="{24726EE1-9138-4F62-87BC-68CD90CCC5EA}"/>
            </a:ext>
          </a:extLst>
        </xdr:cNvPr>
        <xdr:cNvPicPr>
          <a:picLocks noChangeAspect="1"/>
        </xdr:cNvPicPr>
      </xdr:nvPicPr>
      <xdr:blipFill rotWithShape="1">
        <a:blip xmlns:r="http://schemas.openxmlformats.org/officeDocument/2006/relationships" r:embed="rId2"/>
        <a:srcRect t="14750" r="1594" b="7918"/>
        <a:stretch/>
      </xdr:blipFill>
      <xdr:spPr>
        <a:xfrm>
          <a:off x="8405812" y="5509522"/>
          <a:ext cx="6262688" cy="36269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180975</xdr:rowOff>
    </xdr:from>
    <xdr:to>
      <xdr:col>6</xdr:col>
      <xdr:colOff>133350</xdr:colOff>
      <xdr:row>13</xdr:row>
      <xdr:rowOff>57150</xdr:rowOff>
    </xdr:to>
    <xdr:graphicFrame macro="">
      <xdr:nvGraphicFramePr>
        <xdr:cNvPr id="2" name="Gráfico 1">
          <a:extLst>
            <a:ext uri="{FF2B5EF4-FFF2-40B4-BE49-F238E27FC236}">
              <a16:creationId xmlns:a16="http://schemas.microsoft.com/office/drawing/2014/main" id="{A62FF833-C581-4C72-B98A-03C4F0C59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211212</xdr:colOff>
      <xdr:row>21</xdr:row>
      <xdr:rowOff>46143</xdr:rowOff>
    </xdr:from>
    <xdr:to>
      <xdr:col>11</xdr:col>
      <xdr:colOff>680197</xdr:colOff>
      <xdr:row>35</xdr:row>
      <xdr:rowOff>65314</xdr:rowOff>
    </xdr:to>
    <xdr:pic>
      <xdr:nvPicPr>
        <xdr:cNvPr id="3" name="Imagen 2">
          <a:extLst>
            <a:ext uri="{FF2B5EF4-FFF2-40B4-BE49-F238E27FC236}">
              <a16:creationId xmlns:a16="http://schemas.microsoft.com/office/drawing/2014/main" id="{D95EC7FF-BDE0-45AD-BDF8-1CED84EFC481}"/>
            </a:ext>
          </a:extLst>
        </xdr:cNvPr>
        <xdr:cNvPicPr>
          <a:picLocks noChangeAspect="1"/>
        </xdr:cNvPicPr>
      </xdr:nvPicPr>
      <xdr:blipFill rotWithShape="1">
        <a:blip xmlns:r="http://schemas.openxmlformats.org/officeDocument/2006/relationships" r:embed="rId2"/>
        <a:srcRect t="14750" r="1594" b="7918"/>
        <a:stretch/>
      </xdr:blipFill>
      <xdr:spPr>
        <a:xfrm>
          <a:off x="3316362" y="6523143"/>
          <a:ext cx="4640935" cy="26861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fe/Desktop/REUNION%20CON%20JEFES%20DE%20AREA/AREA%20CINTALAPA/SAIDI%20MAYO%20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fe/Desktop/REUNION%20PARNASO/METAS%20POR%20AREA%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di Mensual"/>
      <sheetName val="saidi Acumulado"/>
      <sheetName val="saidi Ciudad"/>
      <sheetName val="tpr"/>
    </sheetNames>
    <sheetDataSet>
      <sheetData sheetId="0">
        <row r="15">
          <cell r="C15" t="str">
            <v>enero</v>
          </cell>
          <cell r="D15" t="str">
            <v>febrero</v>
          </cell>
          <cell r="E15" t="str">
            <v>marzo</v>
          </cell>
          <cell r="F15" t="str">
            <v>abril</v>
          </cell>
          <cell r="G15" t="str">
            <v>mayo</v>
          </cell>
          <cell r="H15" t="str">
            <v>junio</v>
          </cell>
          <cell r="I15" t="str">
            <v>julio</v>
          </cell>
          <cell r="J15" t="str">
            <v>agosto</v>
          </cell>
          <cell r="K15" t="str">
            <v>septiembre</v>
          </cell>
          <cell r="L15" t="str">
            <v>octubre</v>
          </cell>
          <cell r="M15" t="str">
            <v>noviembre</v>
          </cell>
          <cell r="N15" t="str">
            <v>diciembre</v>
          </cell>
        </row>
        <row r="16">
          <cell r="B16" t="str">
            <v>real 17</v>
          </cell>
          <cell r="C16">
            <v>1.17</v>
          </cell>
          <cell r="D16">
            <v>0.74</v>
          </cell>
          <cell r="E16">
            <v>1.72</v>
          </cell>
          <cell r="F16">
            <v>6.94</v>
          </cell>
          <cell r="G16">
            <v>5.43</v>
          </cell>
          <cell r="H16">
            <v>2.66</v>
          </cell>
          <cell r="I16">
            <v>1.91</v>
          </cell>
          <cell r="J16">
            <v>5.46</v>
          </cell>
          <cell r="K16">
            <v>2.46</v>
          </cell>
          <cell r="L16">
            <v>3.98</v>
          </cell>
          <cell r="M16">
            <v>1.97</v>
          </cell>
          <cell r="N16">
            <v>1.03</v>
          </cell>
        </row>
        <row r="17">
          <cell r="B17" t="str">
            <v>meta 18</v>
          </cell>
          <cell r="C17">
            <v>1.1200000000000001</v>
          </cell>
          <cell r="D17">
            <v>0.7</v>
          </cell>
          <cell r="E17">
            <v>1.63</v>
          </cell>
          <cell r="F17">
            <v>6.57</v>
          </cell>
          <cell r="G17">
            <v>5.12</v>
          </cell>
          <cell r="H17">
            <v>2.48</v>
          </cell>
          <cell r="I17">
            <v>1.78</v>
          </cell>
          <cell r="J17">
            <v>5.13</v>
          </cell>
          <cell r="K17">
            <v>2.33</v>
          </cell>
          <cell r="L17">
            <v>3.71</v>
          </cell>
          <cell r="M17">
            <v>1.85</v>
          </cell>
          <cell r="N17">
            <v>2.5</v>
          </cell>
        </row>
        <row r="18">
          <cell r="B18" t="str">
            <v>real 18</v>
          </cell>
          <cell r="C18">
            <v>3.58</v>
          </cell>
          <cell r="D18">
            <v>0.6</v>
          </cell>
          <cell r="E18">
            <v>1.85</v>
          </cell>
          <cell r="F18">
            <v>1.32</v>
          </cell>
          <cell r="G18">
            <v>3.35</v>
          </cell>
          <cell r="H18"/>
          <cell r="I18"/>
          <cell r="J18"/>
          <cell r="K18"/>
          <cell r="L18"/>
          <cell r="M18"/>
          <cell r="N18"/>
        </row>
      </sheetData>
      <sheetData sheetId="1">
        <row r="16">
          <cell r="C16" t="str">
            <v>enero</v>
          </cell>
          <cell r="D16" t="str">
            <v>febrero</v>
          </cell>
          <cell r="E16" t="str">
            <v>marzo</v>
          </cell>
          <cell r="F16" t="str">
            <v>abril</v>
          </cell>
          <cell r="G16" t="str">
            <v>mayo</v>
          </cell>
          <cell r="H16" t="str">
            <v>junio</v>
          </cell>
          <cell r="I16" t="str">
            <v>julio</v>
          </cell>
          <cell r="J16" t="str">
            <v>agosto</v>
          </cell>
          <cell r="K16" t="str">
            <v>septiembre</v>
          </cell>
          <cell r="L16" t="str">
            <v>octubre</v>
          </cell>
          <cell r="M16" t="str">
            <v>noviembre</v>
          </cell>
          <cell r="N16" t="str">
            <v>diciembre</v>
          </cell>
        </row>
        <row r="17">
          <cell r="B17" t="str">
            <v>real 17</v>
          </cell>
          <cell r="C17">
            <v>1.17</v>
          </cell>
          <cell r="D17">
            <v>1.91</v>
          </cell>
          <cell r="E17">
            <v>3.63</v>
          </cell>
          <cell r="F17">
            <v>10.57</v>
          </cell>
          <cell r="G17">
            <v>16</v>
          </cell>
          <cell r="H17">
            <v>18.66</v>
          </cell>
          <cell r="I17">
            <v>20.57</v>
          </cell>
          <cell r="J17">
            <v>26.03</v>
          </cell>
          <cell r="K17">
            <v>28.490000000000002</v>
          </cell>
          <cell r="L17">
            <v>32.47</v>
          </cell>
          <cell r="M17">
            <v>34.44</v>
          </cell>
          <cell r="N17">
            <v>35.47</v>
          </cell>
        </row>
        <row r="18">
          <cell r="B18" t="str">
            <v>meta 18</v>
          </cell>
          <cell r="C18">
            <v>1.1200000000000001</v>
          </cell>
          <cell r="D18">
            <v>1.82</v>
          </cell>
          <cell r="E18">
            <v>3.45</v>
          </cell>
          <cell r="F18">
            <v>10.02</v>
          </cell>
          <cell r="G18">
            <v>15.14</v>
          </cell>
          <cell r="H18">
            <v>17.62</v>
          </cell>
          <cell r="I18">
            <v>19.400000000000002</v>
          </cell>
          <cell r="J18">
            <v>24.53</v>
          </cell>
          <cell r="K18">
            <v>26.86</v>
          </cell>
          <cell r="L18">
            <v>30.57</v>
          </cell>
          <cell r="M18">
            <v>32.42</v>
          </cell>
          <cell r="N18">
            <v>34.92</v>
          </cell>
        </row>
        <row r="19">
          <cell r="B19" t="str">
            <v>real 18</v>
          </cell>
          <cell r="C19">
            <v>3.58</v>
          </cell>
          <cell r="D19">
            <v>4.18</v>
          </cell>
          <cell r="E19">
            <v>6.0299999999999994</v>
          </cell>
          <cell r="F19">
            <v>7.35</v>
          </cell>
          <cell r="G19">
            <v>10.7</v>
          </cell>
          <cell r="H19"/>
          <cell r="I19"/>
          <cell r="J19"/>
          <cell r="K19"/>
          <cell r="L19"/>
          <cell r="M19"/>
          <cell r="N19"/>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DI POR AREA TXT"/>
      <sheetName val="SAIFI POR AREA TXT"/>
      <sheetName val="CAIDI POR AREA TXT"/>
      <sheetName val="TPR POR AREA TXT"/>
      <sheetName val="NI POR AREA TXT"/>
      <sheetName val="UPA POR AREA TXT"/>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fe" refreshedDate="43269.620945601855" createdVersion="5" refreshedVersion="5" minRefreshableVersion="3" recordCount="243" xr:uid="{00000000-000A-0000-FFFF-FFFF02000000}">
  <cacheSource type="worksheet">
    <worksheetSource ref="A2:AM245" sheet="BASE DE DATOS"/>
  </cacheSource>
  <cacheFields count="40">
    <cacheField name="División" numFmtId="0">
      <sharedItems containsBlank="1"/>
    </cacheField>
    <cacheField name="Zona" numFmtId="0">
      <sharedItems containsBlank="1"/>
    </cacheField>
    <cacheField name="Status" numFmtId="0">
      <sharedItems containsBlank="1"/>
    </cacheField>
    <cacheField name="Número" numFmtId="0">
      <sharedItems containsBlank="1"/>
    </cacheField>
    <cacheField name="Año" numFmtId="0">
      <sharedItems containsString="0" containsBlank="1" containsNumber="1" containsInteger="1" minValue="2018" maxValue="2018"/>
    </cacheField>
    <cacheField name="Mes" numFmtId="0">
      <sharedItems containsString="0" containsBlank="1" containsNumber="1" containsInteger="1" minValue="1" maxValue="5" count="6">
        <n v="1"/>
        <n v="2"/>
        <n v="3"/>
        <n v="4"/>
        <n v="5"/>
        <m/>
      </sharedItems>
    </cacheField>
    <cacheField name="Area" numFmtId="0">
      <sharedItems containsBlank="1" count="7">
        <s v="H"/>
        <s v="F"/>
        <s v="G"/>
        <s v="I"/>
        <s v="W"/>
        <s v="J"/>
        <m/>
      </sharedItems>
    </cacheField>
    <cacheField name="Ciudad" numFmtId="0">
      <sharedItems containsBlank="1"/>
    </cacheField>
    <cacheField name="SE" numFmtId="0">
      <sharedItems containsBlank="1" count="22">
        <s v="VFD"/>
        <s v="TXS"/>
        <s v="AAA"/>
        <s v="TXN"/>
        <s v="GIA"/>
        <s v="TGU"/>
        <s v="TGD"/>
        <s v="LMX"/>
        <s v="JUY"/>
        <s v="LGZ"/>
        <s v="PED"/>
        <s v="MAA"/>
        <s v="RDB"/>
        <s v="MPE"/>
        <s v="CIT"/>
        <s v="ANG"/>
        <s v="COP"/>
        <s v="OCZ"/>
        <s v="SMJ"/>
        <s v="IPD"/>
        <s v="SOY"/>
        <m/>
      </sharedItems>
    </cacheField>
    <cacheField name="Circuito" numFmtId="0">
      <sharedItems containsString="0" containsBlank="1" containsNumber="1" containsInteger="1" minValue="4010" maxValue="73730" count="23">
        <n v="4030"/>
        <n v="4015"/>
        <n v="4020"/>
        <n v="4010"/>
        <n v="4040"/>
        <n v="4090"/>
        <n v="4012"/>
        <n v="4060"/>
        <n v="4035"/>
        <n v="4025"/>
        <n v="4050"/>
        <n v="73730"/>
        <n v="4032"/>
        <n v="5010"/>
        <n v="4080"/>
        <n v="4070"/>
        <n v="4100"/>
        <n v="4042"/>
        <n v="4045"/>
        <n v="4022"/>
        <n v="4052"/>
        <n v="5030"/>
        <m/>
      </sharedItems>
    </cacheField>
    <cacheField name="Fecha Ini" numFmtId="0">
      <sharedItems containsBlank="1"/>
    </cacheField>
    <cacheField name="Fecha Ter" numFmtId="0">
      <sharedItems containsBlank="1"/>
    </cacheField>
    <cacheField name="Hora Ini" numFmtId="0">
      <sharedItems containsNonDate="0" containsDate="1" containsString="0" containsBlank="1" minDate="1899-12-30T00:22:00" maxDate="1899-12-30T23:21:00"/>
    </cacheField>
    <cacheField name="Hora Ter" numFmtId="0">
      <sharedItems containsNonDate="0" containsDate="1" containsString="0" containsBlank="1" minDate="1899-12-30T00:00:00" maxDate="1899-12-30T23:45:00"/>
    </cacheField>
    <cacheField name="Demanda" numFmtId="0">
      <sharedItems containsBlank="1" containsMixedTypes="1" containsNumber="1" containsInteger="1" minValue="0" maxValue="5560"/>
    </cacheField>
    <cacheField name="Usuarios" numFmtId="0">
      <sharedItems containsString="0" containsBlank="1" containsNumber="1" containsInteger="1" minValue="0" maxValue="31825"/>
    </cacheField>
    <cacheField name="Ramal" numFmtId="0">
      <sharedItems containsBlank="1" count="195">
        <s v="F2364-LA SIR"/>
        <s v="1NTE 4OTE"/>
        <s v="BOMBEO"/>
        <s v="F0626-A.BAJA"/>
        <s v="F2368-CATARI"/>
        <s v="SALVADOR URB"/>
        <s v="F2209-7 PTE"/>
        <s v="F0167-FCOSAB"/>
        <s v="LLANO TIGRE"/>
        <s v="*****"/>
        <s v="NVA LIBERACI"/>
        <s v="*-F1552-ELOY"/>
        <s v="EL MIRADOR"/>
        <s v="LIMONES"/>
        <s v="F2444"/>
        <s v="F0403-8APONI"/>
        <s v="OBREGON"/>
        <s v="DIAZ ORD"/>
        <s v="F0456 L-MACT"/>
        <s v="RAMAL PACU 1"/>
        <s v="F0065-SUBMAZ"/>
        <s v="F0025-CHAPUL"/>
        <s v="ESPERANZA DE"/>
        <s v="RAM GUACAMAY"/>
        <s v="F0676-5A ORI"/>
        <s v="F0044-P.A.N3"/>
        <s v="S"/>
        <s v="F2517-PORTIL"/>
        <s v="LUIS ESPINOZ"/>
        <s v="VICENTE GRO"/>
        <s v="F2361 AMTES"/>
        <s v="F0642-C.C.1"/>
        <s v="F0548-INSURG"/>
        <s v="COL SAN JOSE"/>
        <s v="RAMAL"/>
        <s v="BOMBEO SAN F"/>
        <s v="BARTOLOME"/>
        <s v="F0330-ROSARI"/>
        <s v="F0327-PARAI2"/>
        <s v="EST SN"/>
        <s v="ZARAGOZA"/>
        <s v="F0366-4ASURP"/>
        <s v="EST 43A"/>
        <s v="F2248- U DEP"/>
        <s v="F2278-CHICHA"/>
        <s v="V.HGO.CAMINO"/>
        <s v="F0322-MANGU3"/>
        <s v="SINALOENSE"/>
        <s v="F2213 4 PTE"/>
        <s v="F2228- 8 OTE"/>
        <s v="F0214-CCF 3D"/>
        <s v="F0487-16 SUR"/>
        <s v="F0127-SAHOP"/>
        <s v="F0495-S.MAGI"/>
        <s v="CARMEN TONAP"/>
        <s v="F0857"/>
        <s v="CAMP CHINT"/>
        <s v="F2464-MELCHO"/>
        <s v="ZAPOTE"/>
        <s v="EST 141"/>
        <s v="MONTE RICO"/>
        <s v="CARDENAS"/>
        <s v="MELCHOR OCAM"/>
        <s v="F2433 GRANO2"/>
        <s v="2OTE 2SUR"/>
        <s v="16 DE SEP. S"/>
        <s v="NVA LIBERTAD"/>
        <s v="F0610-TERMIN"/>
        <s v="F0169-ARAMON"/>
        <s v="F2225- 2 SUR"/>
        <s v="F0905"/>
        <s v="F0310"/>
        <s v="RINCON DE LA"/>
        <s v="F0431-PARQUE"/>
        <s v="F2503-PORTIL"/>
        <s v="F2319-GPE"/>
        <s v="F0767-HERRAD"/>
        <s v="F0878"/>
        <s v="SECUNDARIA"/>
        <s v="URBANA EJI 2"/>
        <s v="CAHUARE"/>
        <s v="SAN JUDAS TA"/>
        <s v="F2410-LIBERT"/>
        <s v="RANCH RAYMUN"/>
        <s v="F2380-SARAG"/>
        <s v="F0024-CHAPUL"/>
        <s v="F0312-LOMA03"/>
        <s v="F0328-21SEPT"/>
        <s v="F0854"/>
        <s v="2A PTE 4SUR"/>
        <s v="F0485-4Y12SU"/>
        <s v="F2439"/>
        <s v="BOMBEO SABIN"/>
        <s v="F0245-L.LOMA"/>
        <s v="F0198-PSUR"/>
        <s v="F0380-11NORT"/>
        <s v="F2216-6 PTE"/>
        <s v="NANDAMBUA"/>
        <s v="STA CRUZ NIP"/>
        <s v="F0535-CTHIE1"/>
        <s v="6A OTE 2NTE"/>
        <s v="PAVAS"/>
        <s v="PLANTA BOMBE"/>
        <s v="JUY JUY"/>
        <s v="F2311 B AGUA"/>
        <s v="MERCADO"/>
        <s v="F0062-ESMER2"/>
        <s v="F0301-CERROH"/>
        <s v="F0278-DOMINS"/>
        <s v="F9246-L.LOMA"/>
        <s v="SOMBRA SELVA"/>
        <s v="F2255  S ANT"/>
        <s v="F0332-ROSARI"/>
        <s v="RANCHO"/>
        <s v="F0255-REMEDI"/>
        <s v="REFUGIO 2"/>
        <s v="TSITZUN"/>
        <s v="F0398-VISHER"/>
        <s v="CHININAL"/>
        <s v="F0526-S.6JUN"/>
        <s v="F0499- BRAVO"/>
        <s v="FCO I MADERO"/>
        <s v="MARUSIA"/>
        <s v="F0151-JARDPE"/>
        <s v="F_F0214_3D"/>
        <s v="BOMBANO2"/>
        <s v="F0698-S.TORR"/>
        <s v="F2366 FLORES"/>
        <s v="F0113-CANT2"/>
        <s v="F2229- 10 TE"/>
        <s v="F_F1280_3D"/>
        <s v="F0508-MISIO1"/>
        <s v="C MIGUEL HGO"/>
        <s v="RAMAL CASETA"/>
        <s v="F0843"/>
        <s v="STA CECILIA"/>
        <s v="F2467"/>
        <s v="BUENA VISTA"/>
        <s v="RIA ROSENDO"/>
        <s v="VCENTE G"/>
        <s v="TIA AMELIA"/>
        <s v="FLECHAS"/>
        <s v="KINDER"/>
        <s v="TOMBAK"/>
        <s v="F0437"/>
        <s v="F0662-1A SUR"/>
        <s v="FELIPE ANGE"/>
        <s v="F2520-PROGRE"/>
        <s v="F1108_PACU2"/>
        <s v="COPANO"/>
        <s v="F1113_RANCHO"/>
        <s v="F0564-P.BOSQ"/>
        <s v="JERUSALEM"/>
        <s v="TRANS HOSPIT"/>
        <s v="F_POMPOSO_3D"/>
        <s v="F2258 S ANT"/>
        <s v="TENEJAPA"/>
        <s v="BAJIO"/>
        <s v="EL GAVILAN"/>
        <s v="F2360 HVO"/>
        <s v="LINDA VISTA"/>
        <s v="NVO SIMOJOVE"/>
        <s v="F0404-7APONI"/>
        <s v="CENTR JIQ 2"/>
        <s v="ZAPATA"/>
        <s v="LOS POCITOS"/>
        <s v="IXTAPA"/>
        <s v="F0603-PINO S"/>
        <s v="F0682-DELICI"/>
        <s v="F0573-COQUEL"/>
        <s v="F0288-PEÑITA"/>
        <s v="F2449-VALLE"/>
        <s v="F2863IGLESIA"/>
        <s v="F0842"/>
        <s v="CUPASMI"/>
        <s v="F0647-13MAY"/>
        <s v="3A SUR 1PTE"/>
        <s v="F_CTHIEL_3D"/>
        <s v="AMATAL"/>
        <s v="TILTEPEC 2"/>
        <s v="OJO DE AGUA"/>
        <s v="CACAHUATERA"/>
        <s v="MONTERRICO"/>
        <s v="TEHUACAN"/>
        <s v="F0862"/>
        <s v="F3319A"/>
        <s v="F2246-SAN RA"/>
        <s v="BRISAS 2"/>
        <s v="F0820-C.CAMP"/>
        <s v="LLANO GDE"/>
        <s v="F0575-OLAM"/>
        <s v="F0220-B.AIRE"/>
        <s v="PLAZA"/>
        <s v="F0829-B.CALI"/>
        <m/>
      </sharedItems>
    </cacheField>
    <cacheField name="PUR" numFmtId="0">
      <sharedItems containsString="0" containsBlank="1" containsNumber="1" containsInteger="1" minValue="0" maxValue="100"/>
    </cacheField>
    <cacheField name="Material" numFmtId="0">
      <sharedItems containsBlank="1"/>
    </cacheField>
    <cacheField name="Causa" numFmtId="0">
      <sharedItems containsBlank="1" count="29">
        <s v="D-133"/>
        <s v="D-145"/>
        <s v="D-151"/>
        <s v="D-151A"/>
        <s v="D-125E"/>
        <s v="W-A62"/>
        <s v="D-153"/>
        <s v="D-134"/>
        <s v="D-123M"/>
        <s v="D-147"/>
        <s v="D-141"/>
        <s v="R-01A"/>
        <s v="D-144"/>
        <s v="D-125B"/>
        <s v="D-125J"/>
        <s v="D-109"/>
        <s v="D-149"/>
        <s v="D-164"/>
        <s v="D-125A"/>
        <s v="R-02A"/>
        <m/>
        <s v="D-131" u="1"/>
        <s v="D-165" u="1"/>
        <s v="D-120" u="1"/>
        <s v="D-110" u="1"/>
        <s v="Q-09A" u="1"/>
        <s v="D-124B" u="1"/>
        <s v="D-125" u="1"/>
        <s v="Q-14" u="1"/>
      </sharedItems>
    </cacheField>
    <cacheField name="Entidad" numFmtId="0">
      <sharedItems containsBlank="1"/>
    </cacheField>
    <cacheField name="Proceso" numFmtId="0">
      <sharedItems containsBlank="1"/>
    </cacheField>
    <cacheField name="Continuada" numFmtId="0">
      <sharedItems containsBlank="1" containsMixedTypes="1" containsNumber="1" containsInteger="1" minValue="226" maxValue="226"/>
    </cacheField>
    <cacheField name="DEMUA" numFmtId="0">
      <sharedItems containsString="0" containsBlank="1" containsNumber="1" containsInteger="1" minValue="0" maxValue="5649593"/>
    </cacheField>
    <cacheField name="Duración" numFmtId="0">
      <sharedItems containsString="0" containsBlank="1" containsNumber="1" containsInteger="1" minValue="0" maxValue="68486"/>
    </cacheField>
    <cacheField name="TIU" numFmtId="0">
      <sharedItems containsString="0" containsBlank="1" containsNumber="1" minValue="0" maxValue="1.7456320000000001"/>
    </cacheField>
    <cacheField name="Usuarios Promedio" numFmtId="0">
      <sharedItems containsBlank="1" containsMixedTypes="1" containsNumber="1" containsInteger="1" minValue="533754" maxValue="533754"/>
    </cacheField>
    <cacheField name="TIU REAL" numFmtId="0">
      <sharedItems containsString="0" containsBlank="1" containsNumber="1" minValue="0" maxValue="303.0353982300885"/>
    </cacheField>
    <cacheField name="EDV" numFmtId="0">
      <sharedItems containsBlank="1" containsMixedTypes="1" containsNumber="1" minValue="0" maxValue="14.856999999999999"/>
    </cacheField>
    <cacheField name="Afectación" numFmtId="0">
      <sharedItems containsBlank="1"/>
    </cacheField>
    <cacheField name="Tipo Tramo" numFmtId="0">
      <sharedItems containsBlank="1"/>
    </cacheField>
    <cacheField name="Tramo Trocal" numFmtId="0">
      <sharedItems containsBlank="1" containsMixedTypes="1" containsNumber="1" containsInteger="1" minValue="0" maxValue="5030"/>
    </cacheField>
    <cacheField name="Tramo Ramal" numFmtId="0">
      <sharedItems containsBlank="1" containsMixedTypes="1" containsNumber="1" containsInteger="1" minValue="0" maxValue="0"/>
    </cacheField>
    <cacheField name="Atendido por" numFmtId="0">
      <sharedItems containsBlank="1"/>
    </cacheField>
    <cacheField name="Con/Sin Evento" numFmtId="0">
      <sharedItems containsBlank="1"/>
    </cacheField>
    <cacheField name="Num. Evento" numFmtId="0">
      <sharedItems containsString="0" containsBlank="1" containsNumber="1" containsInteger="1" minValue="-1" maxValue="1997"/>
    </cacheField>
    <cacheField name="Falla Relevante" numFmtId="0">
      <sharedItems containsBlank="1"/>
    </cacheField>
    <cacheField name="Solicitud (SAC)" numFmtId="0">
      <sharedItems containsString="0" containsBlank="1" containsNumber="1" containsInteger="1" minValue="-1" maxValue="-1"/>
    </cacheField>
    <cacheField name="Orden (Sicoss)" numFmtId="0">
      <sharedItems containsBlank="1"/>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s v="DK"/>
    <s v="04"/>
    <s v="I"/>
    <s v="0046"/>
    <n v="2018"/>
    <x v="0"/>
    <x v="0"/>
    <s v="*"/>
    <x v="0"/>
    <x v="0"/>
    <s v="2018.01.02"/>
    <s v="2018.01.02"/>
    <d v="1899-12-30T08:37:00"/>
    <d v="1899-12-30T10:09:00"/>
    <n v="73"/>
    <n v="183"/>
    <x v="0"/>
    <n v="100"/>
    <s v="D-228"/>
    <x v="0"/>
    <s v="DISTRIBUCION"/>
    <s v="RED AEREA"/>
    <s v="N"/>
    <n v="16836"/>
    <n v="92"/>
    <n v="3.1645E-2"/>
    <n v="533754"/>
    <n v="3.1542620757877227E-2"/>
    <n v="0.112"/>
    <s v="S"/>
    <s v="R"/>
    <n v="0"/>
    <s v="F2364-LA SIR"/>
    <s v="9FB79"/>
    <s v="N"/>
    <n v="-1"/>
    <s v="N"/>
    <n v="-1"/>
    <s v="-"/>
    <s v="FALSO CONTACTO EN FUSIBLE VOLADO //SE CIERRA CCF 10:05 _x000d__x000a_K0403185984 REPOSICION DE FUSIBLE SECCIONADORA F-A FUSIBLE 15 AMP CTO VFD 4030 RIM 001 , LIC 17 ATIENDE XM 84 _x000d__x000a_"/>
  </r>
  <r>
    <s v="DK"/>
    <s v="04"/>
    <s v="I"/>
    <s v="0019"/>
    <n v="2018"/>
    <x v="0"/>
    <x v="1"/>
    <s v="*"/>
    <x v="1"/>
    <x v="0"/>
    <s v="2018.01.05"/>
    <s v="2018.01.05"/>
    <d v="1899-12-30T09:12:00"/>
    <d v="1899-12-30T14:51:00"/>
    <n v="56"/>
    <n v="58"/>
    <x v="1"/>
    <n v="100"/>
    <s v="D-309"/>
    <x v="0"/>
    <s v="DISTRIBUCION"/>
    <s v="RED AEREA"/>
    <s v="N"/>
    <n v="19662"/>
    <n v="339"/>
    <n v="3.6956999999999997E-2"/>
    <n v="533754"/>
    <n v="3.6837194662709787E-2"/>
    <n v="0.316"/>
    <s v="S"/>
    <s v="R"/>
    <n v="0"/>
    <s v="1NTE 4OTE"/>
    <s v="9FA6H"/>
    <s v="N"/>
    <n v="-1"/>
    <s v="N"/>
    <n v="-1"/>
    <s v="-"/>
    <s v="K0403187308 , 12A NORTE Y 11 PTE ESQUINA   BERRIOZABAL ,SE RESTABLECE 1-40/3 CAUSA POR FALSO CONTACTO  SE SUSTITUYE CCF DAÑADO, PUENTE EN MT Y ESTRIBO    RIM DK04-TXF-0014, LIC128 XM 54"/>
  </r>
  <r>
    <s v="DK"/>
    <s v="04"/>
    <s v="I"/>
    <s v="0025"/>
    <n v="2018"/>
    <x v="0"/>
    <x v="1"/>
    <s v="*"/>
    <x v="2"/>
    <x v="1"/>
    <s v="2018.01.08"/>
    <s v="2018.01.08"/>
    <d v="1899-12-30T18:40:00"/>
    <d v="1899-12-30T20:49:00"/>
    <n v="28"/>
    <n v="115"/>
    <x v="2"/>
    <n v="100"/>
    <s v="D-228"/>
    <x v="1"/>
    <s v="DISTRIBUCION"/>
    <s v="RED AEREA"/>
    <s v="N"/>
    <n v="14835"/>
    <n v="129"/>
    <n v="2.7883999999999999E-2"/>
    <n v="533754"/>
    <n v="2.7793702716981981E-2"/>
    <n v="0.06"/>
    <s v="S"/>
    <s v="R"/>
    <n v="0"/>
    <s v="BOMBEO"/>
    <s v="9L0D8"/>
    <s v="N"/>
    <n v="-1"/>
    <s v="N"/>
    <n v="-1"/>
    <s v="K0403188323"/>
    <s v="K0403188323 , COL DR BELISARIO DOMINGUE SN  , SE RECORRE EL RAMAL Y SE ENCONTRO UN AVE QUE PEGA CON LA SECCIONADORA DE TRIPLE DISPARO, SE REPONE 3F-15A/3 Y 1F-25AMP RIM-28   LIC-205   XM57"/>
  </r>
  <r>
    <s v="DK"/>
    <s v="04"/>
    <s v="I"/>
    <s v="0073"/>
    <n v="2018"/>
    <x v="0"/>
    <x v="2"/>
    <s v="G"/>
    <x v="3"/>
    <x v="2"/>
    <s v="2018.01.08"/>
    <s v="2018.01.08"/>
    <d v="1899-12-30T14:27:00"/>
    <d v="1899-12-30T18:26:00"/>
    <n v="125"/>
    <n v="150"/>
    <x v="3"/>
    <n v="0"/>
    <s v="D-228"/>
    <x v="1"/>
    <s v="DISTRIBUCION"/>
    <s v="RED AEREA"/>
    <s v="N"/>
    <n v="35850"/>
    <n v="239"/>
    <n v="6.7383999999999999E-2"/>
    <n v="533754"/>
    <n v="6.7165772996548967E-2"/>
    <n v="0.498"/>
    <s v="S"/>
    <s v="R"/>
    <m/>
    <s v="F0626-A.BAJA"/>
    <s v="9AMNK"/>
    <s v="N"/>
    <n v="-1"/>
    <s v="N"/>
    <n v="-1"/>
    <s v="K0403188223"/>
    <s v="SE REPONE 2F-40AMP EN LA SECCIONADORA Y 2F-5 EN TRANSF DE 50 KVA CONVENCIONAL.  LIC-202  RIM-27  UN PAJARO PROVOCA LA FALLA     QUEDA NORMALIZADO"/>
  </r>
  <r>
    <s v="DK"/>
    <s v="04"/>
    <s v="I"/>
    <s v="0032"/>
    <n v="2018"/>
    <x v="0"/>
    <x v="0"/>
    <s v="*"/>
    <x v="0"/>
    <x v="0"/>
    <s v="2018.01.10"/>
    <s v="2018.01.10"/>
    <d v="1899-12-30T14:52:00"/>
    <d v="1899-12-30T22:00:00"/>
    <n v="98"/>
    <n v="162"/>
    <x v="4"/>
    <n v="100"/>
    <s v="D-228"/>
    <x v="1"/>
    <s v="DISTRIBUCION"/>
    <s v="RED AEREA"/>
    <s v="N"/>
    <n v="69336"/>
    <n v="428"/>
    <n v="0.130325"/>
    <n v="533754"/>
    <n v="0.12990253937207027"/>
    <n v="0.69899999999999995"/>
    <s v="S"/>
    <s v="R"/>
    <n v="0"/>
    <s v="F2368-CATARI"/>
    <s v="K853R"/>
    <s v="N"/>
    <n v="-1"/>
    <s v="N"/>
    <n v="-1"/>
    <s v="K0403189676"/>
    <s v="REPOSICION DE UN FUSIBLE 1-15/3 A. EN SECCIONADORA/AVE ROMPE DISTANCIA CON EL PUENTE DE MT //CIERRAN CCF 22:00/VFD-CTO.:04030 VFD-0042 LIC-279 XM-85"/>
  </r>
  <r>
    <s v="DK"/>
    <s v="04"/>
    <s v="I"/>
    <s v="0040"/>
    <n v="2018"/>
    <x v="0"/>
    <x v="1"/>
    <s v="*"/>
    <x v="4"/>
    <x v="3"/>
    <s v="2018.01.12"/>
    <s v="2018.01.12"/>
    <d v="1899-12-30T13:24:00"/>
    <d v="1899-12-30T15:08:00"/>
    <n v="49"/>
    <n v="66"/>
    <x v="5"/>
    <n v="100"/>
    <s v="D-228"/>
    <x v="1"/>
    <s v="DISTRIBUCION"/>
    <s v="RED AEREA"/>
    <s v="N"/>
    <n v="6864"/>
    <n v="104"/>
    <n v="1.2902E-2"/>
    <n v="533754"/>
    <n v="1.2859856787958498E-2"/>
    <n v="8.5000000000000006E-2"/>
    <s v="S"/>
    <s v="R"/>
    <n v="0"/>
    <s v="SALVADOR URB"/>
    <s v="9L0D8"/>
    <s v="N"/>
    <n v="-1"/>
    <s v="N"/>
    <n v="-1"/>
    <s v="K0403191025"/>
    <s v="K0403191025 , ATRAS DE LA BODEGA , SALVADOR URBINA SE REPONE 2-12/3 AMP EN LA SECC LIC-346 RIM-51      CIRCUITO - GIA-4010 UN AVE SE ENTRELLO EN FASE Y FASE REPORTA XM-57"/>
  </r>
  <r>
    <s v="DK"/>
    <s v="04"/>
    <s v="I"/>
    <s v="0052"/>
    <n v="2018"/>
    <x v="0"/>
    <x v="0"/>
    <s v="*"/>
    <x v="0"/>
    <x v="3"/>
    <s v="2018.01.13"/>
    <s v="2018.01.13"/>
    <d v="1899-12-30T19:07:00"/>
    <d v="1899-12-30T20:13:00"/>
    <n v="49"/>
    <n v="185"/>
    <x v="6"/>
    <n v="100"/>
    <s v="D-228"/>
    <x v="1"/>
    <s v="DISTRIBUCION"/>
    <s v="RED AEREA"/>
    <s v="N"/>
    <n v="12210"/>
    <n v="66"/>
    <n v="2.2950000000000002E-2"/>
    <n v="533754"/>
    <n v="2.2875706786272328E-2"/>
    <n v="5.3999999999999999E-2"/>
    <s v="S"/>
    <s v="R"/>
    <n v="0"/>
    <s v="F2209-7 PTE"/>
    <s v="9M96L"/>
    <s v="N"/>
    <n v="-1"/>
    <s v="N"/>
    <n v="-1"/>
    <s v="K0403191286"/>
    <s v="POR AVE QUE HACE CONTACTO CON LA LINEA DE MEDIA TENSION CON LICENCIA 403 POR LA CUADRILLA XM86, 1-15/3"/>
  </r>
  <r>
    <s v="DK"/>
    <s v="04"/>
    <s v="I"/>
    <s v="0060"/>
    <n v="2018"/>
    <x v="0"/>
    <x v="2"/>
    <s v="G"/>
    <x v="5"/>
    <x v="4"/>
    <s v="2018.01.14"/>
    <s v="2018.01.14"/>
    <d v="1899-12-30T08:22:00"/>
    <d v="1899-12-30T09:31:00"/>
    <n v="396"/>
    <n v="148"/>
    <x v="7"/>
    <n v="0"/>
    <s v="D-228"/>
    <x v="1"/>
    <s v="DISTRIBUCION"/>
    <s v="RED AEREA"/>
    <s v="N"/>
    <n v="10212"/>
    <n v="69"/>
    <n v="1.9195E-2"/>
    <n v="533754"/>
    <n v="1.9132409312155037E-2"/>
    <n v="0.45500000000000002"/>
    <s v="S"/>
    <s v="R"/>
    <m/>
    <s v="F0167-FCOSAB"/>
    <s v="K852R"/>
    <s v="N"/>
    <n v="-1"/>
    <s v="N"/>
    <n v="-1"/>
    <s v="K0403191308"/>
    <s v="SE RESTABLCE FALLA SE REPONE 1 FUS DE 25 AMP EN SECC FASE B, CTO TGU-4040 RIM 56 LIC 408 POR CAUSAS DE UNA ARDILLA OPERA SECC, REP XM-209 14/01/2018"/>
  </r>
  <r>
    <s v="DK"/>
    <s v="04"/>
    <s v="I"/>
    <s v="0055"/>
    <n v="2018"/>
    <x v="0"/>
    <x v="1"/>
    <s v="*"/>
    <x v="6"/>
    <x v="5"/>
    <s v="2018.01.14"/>
    <s v="2018.01.14"/>
    <d v="1899-12-30T10:38:00"/>
    <d v="1899-12-30T22:19:00"/>
    <n v="59"/>
    <n v="73"/>
    <x v="8"/>
    <n v="100"/>
    <s v="D-233"/>
    <x v="0"/>
    <s v="DISTRIBUCION"/>
    <s v="RED AEREA"/>
    <s v="N"/>
    <n v="51173"/>
    <n v="701"/>
    <n v="9.6185000000000007E-2"/>
    <n v="533754"/>
    <n v="9.5873754576078121E-2"/>
    <n v="0.68899999999999995"/>
    <s v="S"/>
    <s v="R"/>
    <n v="0"/>
    <s v="LLANO TIGRE"/>
    <s v="9L0D8"/>
    <s v="N"/>
    <n v="-1"/>
    <s v="N"/>
    <n v="-1"/>
    <s v="K0403191332"/>
    <s v="K0403191332 , LLANO TIGRE, REPOSICION DE PORTAFUSIBLEY FUSIBLE SECCIONADORA FASE A, 1-15/3 -PORTAFUSIBLE/FALSO CONTACTO, FUSIBLE VOLADO C CCF SECC      TGD-CTO.:04090/TXF-0083/LIC-440 XM-57 14/01/2018 10:25:12 P.M"/>
  </r>
  <r>
    <s v="DK"/>
    <s v="04"/>
    <s v="I"/>
    <s v="0151"/>
    <n v="2018"/>
    <x v="0"/>
    <x v="3"/>
    <s v="*"/>
    <x v="7"/>
    <x v="6"/>
    <s v="2018.01.14"/>
    <s v="2018.01.14"/>
    <d v="1899-12-30T19:20:00"/>
    <d v="1899-12-30T19:38:00"/>
    <n v="1852"/>
    <n v="5829"/>
    <x v="9"/>
    <n v="100"/>
    <s v="D-228"/>
    <x v="0"/>
    <s v="DISTRIBUCION"/>
    <s v="RED AEREA"/>
    <m/>
    <n v="104922"/>
    <n v="18"/>
    <n v="0.197213"/>
    <n v="533754"/>
    <n v="0.1965737024921593"/>
    <n v="0.55600000000000005"/>
    <s v="S"/>
    <s v="T"/>
    <s v="************"/>
    <n v="0"/>
    <s v="9MNTB"/>
    <s v="N"/>
    <n v="-1"/>
    <s v="N"/>
    <n v="-1"/>
    <s v="-"/>
    <s v="K0403191374 EJIDO SINAI SE LOCALIZA PUENTE ABIERTO EN FASE C, SECCIONAMIENTO ELOY BORRAZ, CUAD OD2 AREA CINTALAPA SE ABRE RESTAURADOR LMX4012"/>
  </r>
  <r>
    <s v="DK"/>
    <s v="04"/>
    <s v="I"/>
    <s v="0095"/>
    <n v="2018"/>
    <x v="0"/>
    <x v="3"/>
    <s v="*"/>
    <x v="7"/>
    <x v="6"/>
    <s v="2018.01.14"/>
    <s v="2018.01.14"/>
    <d v="1899-12-30T13:00:00"/>
    <d v="1899-12-30T19:20:00"/>
    <n v="125"/>
    <n v="760"/>
    <x v="10"/>
    <n v="100"/>
    <s v="D-228"/>
    <x v="0"/>
    <s v="DISTRIBUCION"/>
    <s v="RED AEREA"/>
    <m/>
    <n v="288800"/>
    <n v="380"/>
    <n v="0.54283199999999998"/>
    <n v="533754"/>
    <n v="0.54107322849102768"/>
    <n v="0.79200000000000004"/>
    <s v="S"/>
    <s v="R"/>
    <n v="0"/>
    <s v="NVA LIBERACI"/>
    <s v="9MNTB"/>
    <s v="N"/>
    <n v="-1"/>
    <s v="N"/>
    <n v="-1"/>
    <s v="-"/>
    <s v="K0403191374 EJIDO SINAI SE LOCALIZA PUENTE ABIERTO EN FASE C, SECCIONAMIENTO ELOY BORRAZ, CUADRILLA OD2 AREA CINTALAPA."/>
  </r>
  <r>
    <s v="DK"/>
    <s v="04"/>
    <s v="I"/>
    <s v="0099"/>
    <n v="2018"/>
    <x v="0"/>
    <x v="3"/>
    <s v="*"/>
    <x v="7"/>
    <x v="6"/>
    <s v="2018.01.14"/>
    <s v="2018.01.15"/>
    <d v="1899-12-30T19:38:00"/>
    <d v="1899-12-30T16:00:00"/>
    <n v="125"/>
    <n v="760"/>
    <x v="10"/>
    <n v="100"/>
    <s v="D-228"/>
    <x v="0"/>
    <s v="DISTRIBUCION"/>
    <s v="RED AEREA"/>
    <s v="N"/>
    <n v="928720"/>
    <n v="1222"/>
    <n v="1.7456320000000001"/>
    <n v="533754"/>
    <n v="1.7399775926737786"/>
    <n v="2.5459999999999998"/>
    <s v="S"/>
    <s v="R"/>
    <n v="0"/>
    <s v="NVA LIBERACI"/>
    <s v="9MNTB"/>
    <s v="N"/>
    <n v="-1"/>
    <s v="N"/>
    <n v="-1"/>
    <s v="-"/>
    <s v="K0403191374 EJIDO MONTE SINAI SE LOCALIZA PUENTE ABIERTO EN FASE C, SECCIONAMIENTO ELOY BORRAZ."/>
  </r>
  <r>
    <s v="DK"/>
    <s v="04"/>
    <s v="I"/>
    <s v="0102"/>
    <n v="2018"/>
    <x v="0"/>
    <x v="3"/>
    <s v="*"/>
    <x v="7"/>
    <x v="6"/>
    <s v="2018.01.16"/>
    <s v="2018.01.16"/>
    <d v="1899-12-30T12:53:00"/>
    <d v="1899-12-30T16:02:00"/>
    <n v="75"/>
    <n v="464"/>
    <x v="11"/>
    <n v="100"/>
    <s v="D-228"/>
    <x v="2"/>
    <s v="DISTRIBUCION"/>
    <s v="RED AEREA"/>
    <s v="N"/>
    <n v="87696"/>
    <n v="189"/>
    <n v="0.16483400000000001"/>
    <n v="533754"/>
    <n v="0.16430040805314808"/>
    <n v="0.23599999999999999"/>
    <s v="S"/>
    <s v="R"/>
    <n v="0"/>
    <s v="*-F1552-ELOY"/>
    <s v="PM926"/>
    <s v="N"/>
    <n v="1513"/>
    <s v="N"/>
    <n v="-1"/>
    <s v="-"/>
    <s v="LICENCIA 497 SE REALIZA MANIOBRA PARA RECONSTRUCCION DEL ACCIDENTE DEL DIA 14 DE ENERO DE 2018, PARA ESCLARECIMIENTO DE LOS HECHOS QUE OCASIONARON EL SUCESO."/>
  </r>
  <r>
    <s v="DK"/>
    <s v="04"/>
    <s v="I"/>
    <s v="0092"/>
    <n v="2018"/>
    <x v="0"/>
    <x v="1"/>
    <s v="*"/>
    <x v="4"/>
    <x v="2"/>
    <s v="2018.01.18"/>
    <s v="2018.01.18"/>
    <d v="1899-12-30T10:12:00"/>
    <d v="1899-12-30T11:55:00"/>
    <n v="89"/>
    <n v="150"/>
    <x v="12"/>
    <n v="100"/>
    <s v="D-242"/>
    <x v="3"/>
    <s v="DISTRIBUCION"/>
    <s v="RED AEREA"/>
    <s v="N"/>
    <n v="15450"/>
    <n v="103"/>
    <n v="2.904E-2"/>
    <n v="533754"/>
    <n v="2.8945918906462528E-2"/>
    <n v="0.153"/>
    <s v="S"/>
    <s v="R"/>
    <n v="0"/>
    <s v="EL MIRADOR"/>
    <s v="9B57L"/>
    <s v="N"/>
    <n v="-1"/>
    <s v="N"/>
    <n v="-1"/>
    <s v="-"/>
    <s v="K0403192075, K04135 - EL REFUGIO , LIBRANZA POR EMERGENCIA , REPARACION DE LINEA EN M.T. A PUNTO DE CAER, ESTA SOLO CON ALMA DE ACEREO FASE A Y C , LIC 567, RIM DK04-TXF-0111 XM 52, 53"/>
  </r>
  <r>
    <s v="DK"/>
    <s v="04"/>
    <s v="I"/>
    <s v="0091"/>
    <n v="2018"/>
    <x v="0"/>
    <x v="1"/>
    <s v="*"/>
    <x v="8"/>
    <x v="3"/>
    <s v="2018.01.18"/>
    <s v="2018.01.18"/>
    <d v="1899-12-30T12:05:00"/>
    <d v="1899-12-30T18:05:00"/>
    <n v="55"/>
    <n v="80"/>
    <x v="13"/>
    <n v="100"/>
    <s v="D-309"/>
    <x v="0"/>
    <s v="DISTRIBUCION"/>
    <s v="RED AEREA"/>
    <s v="N"/>
    <n v="28800"/>
    <n v="360"/>
    <n v="5.4133000000000001E-2"/>
    <n v="533754"/>
    <n v="5.3957441068357336E-2"/>
    <n v="0.33"/>
    <s v="S"/>
    <s v="R"/>
    <n v="0"/>
    <s v="LIMONES"/>
    <s v="9EX41"/>
    <s v="N"/>
    <n v="-1"/>
    <s v="N"/>
    <n v="-1"/>
    <s v="K0403193353"/>
    <s v="K0403193353 , RIB LOS LIMONES,  1-25/3 SUSTITUCION DE 3 CCF AVERIADOS PUENTE SUELTO / ABREN CONECTOR LV 16:47,, PUENTE C/ JUY-CTO.:04010/ TXF-0116/ LIC-591/XM-502 18/01/2018 FASE A"/>
  </r>
  <r>
    <s v="DK"/>
    <s v="04"/>
    <s v="I"/>
    <s v="0103"/>
    <n v="2018"/>
    <x v="0"/>
    <x v="0"/>
    <s v="*"/>
    <x v="9"/>
    <x v="3"/>
    <s v="2018.01.18"/>
    <s v="2018.01.18"/>
    <d v="1899-12-30T17:54:00"/>
    <d v="1899-12-30T18:40:00"/>
    <n v="50"/>
    <n v="30"/>
    <x v="14"/>
    <n v="100"/>
    <s v="D-228"/>
    <x v="0"/>
    <s v="DISTRIBUCION"/>
    <s v="RED AEREA"/>
    <s v="N"/>
    <n v="1380"/>
    <n v="46"/>
    <n v="2.594E-3"/>
    <n v="533754"/>
    <n v="2.5854607178587888E-3"/>
    <n v="3.7999999999999999E-2"/>
    <s v="S"/>
    <s v="R"/>
    <n v="0"/>
    <s v="F2444"/>
    <s v="K853R"/>
    <s v="N"/>
    <n v="-1"/>
    <s v="N"/>
    <n v="-1"/>
    <s v="K0403193377"/>
    <s v="REPOSICION DE FUSIBLE Y PORTAFUSIBLE SECC FASE A/FALSO CONTACTO FUSIBLE VOLADO/2F 10AMPRS 1PZ DE PORTAFUSIBLE LGZ-CTO.:04010   VFD-0077 LIC-596 XM-86 18/01/2018 08:05:04 P.M."/>
  </r>
  <r>
    <s v="DK"/>
    <s v="04"/>
    <s v="I"/>
    <s v="0115"/>
    <n v="2018"/>
    <x v="0"/>
    <x v="2"/>
    <s v="G"/>
    <x v="5"/>
    <x v="7"/>
    <s v="2018.01.19"/>
    <s v="2018.01.19"/>
    <d v="1899-12-30T09:15:00"/>
    <d v="1899-12-30T10:46:00"/>
    <n v="79"/>
    <n v="93"/>
    <x v="15"/>
    <n v="0"/>
    <s v="D-228"/>
    <x v="1"/>
    <s v="DISTRIBUCION"/>
    <s v="RED AEREA"/>
    <s v="N"/>
    <n v="8463"/>
    <n v="91"/>
    <n v="1.5907000000000001E-2"/>
    <n v="533754"/>
    <n v="1.5855618880607922E-2"/>
    <n v="0.12"/>
    <s v="S"/>
    <s v="R"/>
    <n v="0"/>
    <s v="F0403-8APONI"/>
    <s v="9B51C"/>
    <s v="N"/>
    <n v="-1"/>
    <s v="N"/>
    <n v="-1"/>
    <s v="K0403193500"/>
    <s v="K0403193500, 6A Y 7A PTE TGU CAUSA POR PAJAROS, 9DY7X, LIC 609, RIM 77, CTO TGU4060, SE REPONE 1F10/3 EN SECC SE ALIMENTABA DE DOS TRANSF, SE CIERRA SECC 10:53 HRS"/>
  </r>
  <r>
    <s v="DK"/>
    <s v="04"/>
    <s v="I"/>
    <s v="0097"/>
    <n v="2018"/>
    <x v="0"/>
    <x v="1"/>
    <s v="*"/>
    <x v="8"/>
    <x v="3"/>
    <s v="2018.01.19"/>
    <s v="2018.01.19"/>
    <d v="1899-12-30T04:17:00"/>
    <d v="1899-12-30T14:30:00"/>
    <n v="15"/>
    <n v="33"/>
    <x v="16"/>
    <n v="100"/>
    <s v="D-228"/>
    <x v="0"/>
    <s v="DISTRIBUCION"/>
    <s v="RED AEREA"/>
    <s v="N"/>
    <n v="20229"/>
    <n v="613"/>
    <n v="3.8023000000000001E-2"/>
    <n v="533754"/>
    <n v="3.7899481783743069E-2"/>
    <n v="0.153"/>
    <s v="S"/>
    <s v="R"/>
    <n v="0"/>
    <s v="OBREGON"/>
    <s v="9FMH2"/>
    <s v="N"/>
    <n v="-1"/>
    <s v="N"/>
    <n v="-1"/>
    <s v="K0403193435"/>
    <s v="K0403193435, OBREGON , REPORTA XM57  SE REPONE 1-15/3  AMP 1 SECC EN LA 2 SECC UNO DE 12AMP SE CAMBIO UN PORTA FUSIBLE LIC-621 RIM-120 CIRCUITO JUY-4010 2 CONECTORES 504 EN TRANS-30 KVA BIFASICO RIM DK04-TXF-0120, LIC 621"/>
  </r>
  <r>
    <s v="DK"/>
    <s v="04"/>
    <s v="I"/>
    <s v="0109"/>
    <n v="2018"/>
    <x v="0"/>
    <x v="3"/>
    <s v="*"/>
    <x v="10"/>
    <x v="1"/>
    <s v="2018.01.19"/>
    <s v="2018.01.19"/>
    <d v="1899-12-30T08:32:00"/>
    <d v="1899-12-30T13:30:00"/>
    <n v="65"/>
    <n v="88"/>
    <x v="17"/>
    <n v="100"/>
    <s v="D-228"/>
    <x v="1"/>
    <s v="DISTRIBUCION"/>
    <s v="RED AEREA"/>
    <s v="N"/>
    <n v="26224"/>
    <n v="298"/>
    <n v="4.9291000000000001E-2"/>
    <n v="533754"/>
    <n v="4.9131247728354262E-2"/>
    <n v="0.32300000000000001"/>
    <s v="S"/>
    <s v="R"/>
    <n v="0"/>
    <s v="DIAZ ORD"/>
    <s v="QQ603"/>
    <s v="N"/>
    <n v="-1"/>
    <s v="N"/>
    <n v="-1"/>
    <s v="-"/>
    <s v="ORDEN SICOSS K0403193454; COL GUSTAVO DIAZ ORDAZ SE REPONE (2-15/3) EN SECCIONADORA DEL RAMAL DIAZ ORDAZ, FASE B Y C LIC: 617, PED4015, XM72, SE ENCUENTRA UN ZOPILOTE SOBRE LA  MEDIA TENSION  SE CIERRRA CCF 13:30 HRS"/>
  </r>
  <r>
    <s v="DK"/>
    <s v="04"/>
    <s v="I"/>
    <s v="0118"/>
    <n v="2018"/>
    <x v="0"/>
    <x v="2"/>
    <s v="G"/>
    <x v="11"/>
    <x v="4"/>
    <s v="2018.01.19"/>
    <s v="2018.01.19"/>
    <d v="1899-12-30T13:00:00"/>
    <d v="1899-12-30T16:45:00"/>
    <n v="90"/>
    <n v="80"/>
    <x v="18"/>
    <n v="0"/>
    <s v="D-228"/>
    <x v="1"/>
    <s v="DISTRIBUCION"/>
    <s v="RED AEREA"/>
    <s v="N"/>
    <n v="18000"/>
    <n v="225"/>
    <n v="3.3833000000000002E-2"/>
    <n v="533754"/>
    <n v="3.3723400667723336E-2"/>
    <n v="0.33800000000000002"/>
    <s v="S"/>
    <s v="R"/>
    <n v="0"/>
    <s v="F0456 L-MACT"/>
    <s v="K853R"/>
    <s v="N"/>
    <n v="-1"/>
    <s v="N"/>
    <n v="-1"/>
    <s v="K0403193772"/>
    <s v="CON ORDEN K0403193772 FRACC LOMAS DEL VENADO SE REPONE 2F-2AMP EN TRANSF DE 45 KVA TRIFASICO, Y 1F-40 AMP EN LA SECCIONADORA; AVE PROVOCA CC; 16:32 SE BLOQUE 79 MAA 4040; SE CIERRA CCF 16:45 HRS; LIC-627"/>
  </r>
  <r>
    <s v="DK"/>
    <s v="04"/>
    <s v="I"/>
    <s v="0106"/>
    <n v="2018"/>
    <x v="0"/>
    <x v="1"/>
    <s v="*"/>
    <x v="12"/>
    <x v="8"/>
    <s v="2018.01.20"/>
    <s v="2018.01.20"/>
    <d v="1899-12-30T08:29:00"/>
    <d v="1899-12-30T13:36:00"/>
    <n v="27"/>
    <n v="40"/>
    <x v="19"/>
    <n v="100"/>
    <s v="D-243"/>
    <x v="0"/>
    <s v="DISTRIBUCION"/>
    <s v="RED AEREA"/>
    <s v="N"/>
    <n v="12280"/>
    <n v="307"/>
    <n v="2.3081999999999998E-2"/>
    <n v="533754"/>
    <n v="2.3006853344424587E-2"/>
    <n v="0.13800000000000001"/>
    <s v="S"/>
    <s v="R"/>
    <n v="0"/>
    <s v="RAMAL PACU 1"/>
    <s v="9M933"/>
    <s v="N"/>
    <n v="-1"/>
    <s v="N"/>
    <n v="-1"/>
    <s v="-"/>
    <s v="K0403193969 . PLAN DE MULUMI , PACU, SE RESTABLECE PUENTE, CAUSA SE SOLTO COLILLA DE CU DEL CCF/// CON HORARIO DE 12:46 SE BLOQ 79 REST R0104 PANTEON JARDINES DEL EDEN RIM DK04-TXF-0127, LIC 649 XM 56"/>
  </r>
  <r>
    <s v="DK"/>
    <s v="04"/>
    <s v="I"/>
    <s v="0117"/>
    <n v="2018"/>
    <x v="0"/>
    <x v="2"/>
    <s v="G"/>
    <x v="5"/>
    <x v="2"/>
    <s v="2018.01.22"/>
    <s v="2018.01.22"/>
    <d v="1899-12-30T14:29:00"/>
    <d v="1899-12-30T17:42:00"/>
    <n v="72"/>
    <n v="132"/>
    <x v="20"/>
    <n v="0"/>
    <s v="D-228"/>
    <x v="0"/>
    <s v="DISTRIBUCION"/>
    <s v="RED AEREA"/>
    <s v="N"/>
    <n v="25476"/>
    <n v="193"/>
    <n v="4.7884999999999997E-2"/>
    <n v="533754"/>
    <n v="4.7729853078384427E-2"/>
    <n v="0.23200000000000001"/>
    <s v="S"/>
    <s v="R"/>
    <n v="0"/>
    <s v="F0065-SUBMAZ"/>
    <s v="K853R"/>
    <s v="N"/>
    <n v="-1"/>
    <s v="N"/>
    <n v="-1"/>
    <s v="K0403194507"/>
    <s v="CON ORDEN K04030194507 RICON DE LOS LAGOS SE REST 1-12/3 SECC FASE B, OPERA POR FALSO CONTACTO EN EL CCF/TGU-CTO.:04020/CCC-0084 LIC-691 /// 17:30 CIERRA CCF //DESBLOQ. 79 17:42 HRS."/>
  </r>
  <r>
    <s v="DK"/>
    <s v="04"/>
    <s v="I"/>
    <s v="0122"/>
    <n v="2018"/>
    <x v="0"/>
    <x v="2"/>
    <s v="G"/>
    <x v="5"/>
    <x v="2"/>
    <s v="2018.01.22"/>
    <s v="2018.01.22"/>
    <d v="1899-12-30T08:00:00"/>
    <d v="1899-12-30T10:15:00"/>
    <n v="46"/>
    <n v="52"/>
    <x v="21"/>
    <n v="0"/>
    <s v="D-228"/>
    <x v="1"/>
    <s v="DISTRIBUCION"/>
    <s v="RED AEREA"/>
    <s v="N"/>
    <n v="7020"/>
    <n v="135"/>
    <n v="1.3195E-2"/>
    <n v="533754"/>
    <n v="1.31521262604121E-2"/>
    <n v="0.10299999999999999"/>
    <s v="S"/>
    <s v="R"/>
    <n v="0"/>
    <s v="F0025-CHAPUL"/>
    <s v="9B51C"/>
    <s v="N"/>
    <n v="-1"/>
    <s v="N"/>
    <n v="-1"/>
    <s v="K0403194170"/>
    <s v="CON ORDEN K0403194170; FRACC ALEGRIA; UNA ARDILLA CC, SE REPONE 1-15/3 EN DIF SECC S/N CTO TGU 4020 CON LIC: 676 SE BLOQUEA 79 TGU 4020 HR 10:01 ///CIERRAN CCF 10:15"/>
  </r>
  <r>
    <s v="DK"/>
    <s v="04"/>
    <s v="I"/>
    <s v="0116"/>
    <n v="2018"/>
    <x v="0"/>
    <x v="3"/>
    <s v="*"/>
    <x v="13"/>
    <x v="9"/>
    <s v="2018.01.22"/>
    <s v="2018.01.22"/>
    <d v="1899-12-30T08:48:00"/>
    <d v="1899-12-30T16:10:00"/>
    <n v="22"/>
    <n v="57"/>
    <x v="22"/>
    <n v="100"/>
    <s v="D-228"/>
    <x v="1"/>
    <s v="DISTRIBUCION"/>
    <s v="RED AEREA"/>
    <s v="N"/>
    <n v="25194"/>
    <n v="442"/>
    <n v="4.7355000000000001E-2"/>
    <n v="533754"/>
    <n v="4.720151980125676E-2"/>
    <n v="0.16200000000000001"/>
    <s v="S"/>
    <s v="R"/>
    <n v="0"/>
    <s v="ESPERANZA DE"/>
    <s v="9M96L"/>
    <s v="N"/>
    <n v="-1"/>
    <s v="N"/>
    <n v="-1"/>
    <s v="K0403194191"/>
    <s v="POR AVE EN CONTACTO CON LA LINEA DE MEDIA TENSION, SE REPONE PUENTE ABIETO, SE LABORA CON LA LIC. 677, POR XM73"/>
  </r>
  <r>
    <s v="DK"/>
    <s v="04"/>
    <s v="I"/>
    <s v="0138"/>
    <n v="2018"/>
    <x v="0"/>
    <x v="3"/>
    <s v="*"/>
    <x v="14"/>
    <x v="3"/>
    <s v="2018.01.23"/>
    <s v="2018.01.23"/>
    <d v="1899-12-30T08:44:00"/>
    <d v="1899-12-30T13:43:00"/>
    <n v="6"/>
    <n v="12"/>
    <x v="23"/>
    <n v="100"/>
    <s v="D-228"/>
    <x v="4"/>
    <s v="DISTRIBUCION"/>
    <s v="RED AEREA"/>
    <s v="N"/>
    <n v="3588"/>
    <n v="299"/>
    <n v="6.744E-3"/>
    <n v="533754"/>
    <n v="6.7221978664328509E-3"/>
    <n v="0.03"/>
    <s v="S"/>
    <s v="R"/>
    <n v="0"/>
    <s v="RAM GUACAMAY"/>
    <s v="9M9C4"/>
    <s v="N"/>
    <n v="-1"/>
    <s v="N"/>
    <n v="-1"/>
    <s v="K0403194864"/>
    <s v="K0403194864 SE REPONE 2-15/1 SECC PUENTE QUINTANA ROO Y SE RETIRA APARTARRAYO DANADO POR DESCARGAS ATMOSFERICAS EN TD 25 KVA LIC: 732,RIM:153,CTO:CIT-4010 TERM LIC: 13:43 HRS EJECUTO XM-63"/>
  </r>
  <r>
    <s v="DK"/>
    <s v="04"/>
    <s v="I"/>
    <s v="0141"/>
    <n v="2018"/>
    <x v="0"/>
    <x v="2"/>
    <s v="G"/>
    <x v="3"/>
    <x v="10"/>
    <s v="2018.01.24"/>
    <s v="2018.01.24"/>
    <d v="1899-12-30T09:13:00"/>
    <d v="1899-12-30T13:14:00"/>
    <n v="110"/>
    <n v="160"/>
    <x v="24"/>
    <n v="0"/>
    <s v="D-228"/>
    <x v="1"/>
    <s v="DISTRIBUCION"/>
    <s v="RED AEREA"/>
    <s v="N"/>
    <n v="38560"/>
    <n v="241"/>
    <n v="7.2478000000000001E-2"/>
    <n v="533754"/>
    <n v="7.2243018319300648E-2"/>
    <n v="0.442"/>
    <s v="S"/>
    <s v="R"/>
    <n v="0"/>
    <s v="F0676-5A ORI"/>
    <s v="9B51C"/>
    <s v="N"/>
    <n v="-1"/>
    <s v="N"/>
    <n v="-1"/>
    <s v="K0403195880"/>
    <s v="K04003195880 ORDEN DUPLICACA CON K0403195466 UNA ARDILLA PROVOCO UNA FALLA EN SECC Y BCO, C 12 NTE ENT 6A Y 7A OTE; SE REPONE 3-10/3 Y 3-2/3 EN SECC S/N Y TRANSF DE 37.5, LDEL CTO TXN4050 LIC 7719DY7X; HABILITAR 79 TXN 4050 SE CIERRA CCF 13:14 HRS"/>
  </r>
  <r>
    <s v="DK"/>
    <s v="04"/>
    <s v="I"/>
    <s v="0142"/>
    <n v="2018"/>
    <x v="0"/>
    <x v="2"/>
    <s v="G"/>
    <x v="5"/>
    <x v="2"/>
    <s v="2018.01.24"/>
    <s v="2018.01.24"/>
    <d v="1899-12-30T05:07:00"/>
    <d v="1899-12-30T13:45:00"/>
    <n v="26"/>
    <n v="50"/>
    <x v="25"/>
    <n v="0"/>
    <s v="D-228"/>
    <x v="4"/>
    <s v="DISTRIBUCION"/>
    <s v="RED AEREA"/>
    <s v="N"/>
    <n v="25900"/>
    <n v="518"/>
    <n v="4.8682000000000003E-2"/>
    <n v="533754"/>
    <n v="4.8524226516335242E-2"/>
    <n v="0.22500000000000001"/>
    <s v="S"/>
    <s v="R"/>
    <n v="0"/>
    <s v="F0044-P.A.N3"/>
    <s v="9B51C"/>
    <s v="N"/>
    <n v="-1"/>
    <s v="N"/>
    <n v="-1"/>
    <s v="K0403195388"/>
    <s v="ORDEN K0403195388; COL. NVO LEON NO.1568;CAUSA: DESCARGAS TAMOSFERICAS APARTARRAYO DANADO EXPLOTADO, SE REPONE 1-10/3  Y PORTAFUSIBLE;  LIC 787 TGU 4020 EN LA FASE A, SE  CIERRA CCF 13:45 HRS"/>
  </r>
  <r>
    <s v="DK"/>
    <s v="04"/>
    <s v="W"/>
    <s v="0001"/>
    <n v="2018"/>
    <x v="0"/>
    <x v="4"/>
    <s v="*"/>
    <x v="15"/>
    <x v="11"/>
    <s v="2018.01.08"/>
    <s v="2018.01.08"/>
    <d v="1899-12-30T06:23:00"/>
    <d v="1899-12-30T06:23:00"/>
    <n v="0"/>
    <n v="0"/>
    <x v="26"/>
    <n v="100"/>
    <m/>
    <x v="5"/>
    <s v="DISTRIBUCION"/>
    <s v="LINEAS DE SUBTRANSMISION"/>
    <m/>
    <n v="0"/>
    <n v="0"/>
    <n v="0"/>
    <n v="533754"/>
    <n v="0"/>
    <n v="0"/>
    <s v="N"/>
    <s v="T"/>
    <n v="0"/>
    <n v="0"/>
    <s v="9B56D"/>
    <s v="N"/>
    <n v="-1"/>
    <s v="S"/>
    <n v="-1"/>
    <s v="-"/>
    <s v="D/C LST 73730 ANG-MAP,   MAP CIERRAN POR SUPERVISORI NODO ANG  SEL 311C F BG, Z1, D= 11.41 KM.//NODO MAP G.E URD60 F BG, 214 KM, ICC 517 AMP. EST. 41 NIDO DE QUEBRANTAHUESOS PROVOCA DA#O EN UNA PIEZA DE LA CADENA DE AISLAMIENTO. NEBLINA AL MOMENTO DE"/>
  </r>
  <r>
    <s v="DK"/>
    <s v="04"/>
    <s v="I"/>
    <s v="0216"/>
    <n v="2018"/>
    <x v="1"/>
    <x v="1"/>
    <s v="*"/>
    <x v="8"/>
    <x v="3"/>
    <s v="2018.02.01"/>
    <s v="2018.02.02"/>
    <d v="1899-12-30T20:47:00"/>
    <d v="1899-12-30T12:35:00"/>
    <n v="23"/>
    <n v="34"/>
    <x v="16"/>
    <n v="100"/>
    <s v="D-243"/>
    <x v="0"/>
    <s v="DISTRIBUCION"/>
    <s v="RED AEREA"/>
    <s v="N"/>
    <n v="32232"/>
    <n v="948"/>
    <n v="6.0533999999999998E-2"/>
    <n v="533754"/>
    <n v="6.0387369462336582E-2"/>
    <n v="0.36299999999999999"/>
    <s v="S"/>
    <s v="R"/>
    <n v="0"/>
    <s v="OBREGON"/>
    <s v="9MNYH"/>
    <s v="N"/>
    <n v="-1"/>
    <s v="N"/>
    <n v="-1"/>
    <s v="-"/>
    <s v="K0403199700  OBREGO, SE RESTABLECE 1-12/3 CAUSA FALSO CONTACTO/ RIM 10:30// RETIRA PORTSFUSIBLES 11:24, DESCONEXION DE LV  11:30. 11:20 CONEXION LV  H 79 JUY 4010  12:40H XM 54"/>
  </r>
  <r>
    <s v="DK"/>
    <s v="04"/>
    <s v="I"/>
    <s v="0219"/>
    <n v="2018"/>
    <x v="1"/>
    <x v="0"/>
    <s v="*"/>
    <x v="9"/>
    <x v="4"/>
    <s v="2018.02.01"/>
    <s v="2018.02.01"/>
    <d v="1899-12-30T19:31:00"/>
    <d v="1899-12-30T20:55:00"/>
    <n v="75"/>
    <n v="115"/>
    <x v="27"/>
    <n v="100"/>
    <s v="D-228"/>
    <x v="1"/>
    <s v="DISTRIBUCION"/>
    <s v="RED AEREA"/>
    <s v="N"/>
    <n v="9660"/>
    <n v="84"/>
    <n v="1.8141999999999998E-2"/>
    <n v="533754"/>
    <n v="1.8098225025011523E-2"/>
    <n v="0.105"/>
    <s v="S"/>
    <s v="R"/>
    <n v="0"/>
    <s v="F2517-PORTIL"/>
    <s v="9MNTA"/>
    <s v="N"/>
    <n v="-1"/>
    <s v="N"/>
    <n v="-1"/>
    <s v="K0403199692"/>
    <s v="REPORTA XM 86 SE REPONE 1 FUSIBLE DE 25 AMPS EN SECCIONADORA FASE A DEL CTO LGZ4040 RIM 163 LIC 1091 CAUSAS AVE ASE CONTACTO CONPUENTE CCF"/>
  </r>
  <r>
    <s v="DK"/>
    <s v="04"/>
    <s v="I"/>
    <s v="0236"/>
    <n v="2018"/>
    <x v="1"/>
    <x v="1"/>
    <s v="*"/>
    <x v="16"/>
    <x v="12"/>
    <s v="2018.02.05"/>
    <s v="2018.02.05"/>
    <d v="1899-12-30T11:15:00"/>
    <d v="1899-12-30T19:33:00"/>
    <n v="64"/>
    <n v="66"/>
    <x v="28"/>
    <n v="100"/>
    <s v="D-251"/>
    <x v="0"/>
    <s v="DISTRIBUCION"/>
    <s v="RED AEREA"/>
    <s v="N"/>
    <n v="32868"/>
    <n v="498"/>
    <n v="6.1728999999999999E-2"/>
    <n v="533754"/>
    <n v="6.1578929619262805E-2"/>
    <n v="0.53100000000000003"/>
    <s v="S"/>
    <s v="R"/>
    <n v="0"/>
    <s v="LUIS ESPINOZ"/>
    <s v="9FEA2"/>
    <s v="N"/>
    <n v="-1"/>
    <s v="N"/>
    <n v="-1"/>
    <s v="-"/>
    <s v="K0403200350, POR PUNTO CALIENTE EN CONECTOR CAUSA PUENTE ABIERTO POR FALSO CONTACTO, SE RESTABLECE 1-25/3 , SE CORRIGE, RIM DK04-TXF-0228, LIC 1165, XM 501, AMPLIACION LADO ABAJO COL. LUIS ESPINOZA, C CCF. 19:33 HRS."/>
  </r>
  <r>
    <s v="DK"/>
    <s v="04"/>
    <s v="I"/>
    <s v="0227"/>
    <n v="2018"/>
    <x v="1"/>
    <x v="3"/>
    <s v="*"/>
    <x v="17"/>
    <x v="10"/>
    <s v="2018.02.06"/>
    <s v="2018.02.06"/>
    <d v="1899-12-30T14:25:00"/>
    <d v="1899-12-30T17:03:00"/>
    <n v="150"/>
    <n v="231"/>
    <x v="29"/>
    <n v="100"/>
    <s v="D-233"/>
    <x v="0"/>
    <s v="DISTRIBUCION"/>
    <s v="RED AEREA"/>
    <s v="N"/>
    <n v="36498"/>
    <n v="158"/>
    <n v="6.8545999999999996E-2"/>
    <n v="533754"/>
    <n v="6.8379815420587006E-2"/>
    <n v="0.39500000000000002"/>
    <s v="S"/>
    <s v="R"/>
    <n v="0"/>
    <s v="VICENTE GRO"/>
    <s v="9B57E"/>
    <s v="N"/>
    <n v="-1"/>
    <s v="N"/>
    <n v="-1"/>
    <s v="K0403201301"/>
    <s v="K0403201301, XM602 RESTABLECE ALAMBRE  EN CCF FASE A, EL PORTA FUSIBLE SE QUEMO POR FALSO CONTACTO EN RECIBIDOR, ATENDIDA CON LIC. 1204 RIM DK04-CIT-0247 OCZ 4050, CERRADO CCF 17:03 HRS"/>
  </r>
  <r>
    <s v="DK"/>
    <s v="04"/>
    <s v="I"/>
    <s v="0347"/>
    <n v="2018"/>
    <x v="1"/>
    <x v="0"/>
    <s v="*"/>
    <x v="0"/>
    <x v="0"/>
    <s v="2018.02.15"/>
    <s v="2018.02.15"/>
    <d v="1899-12-30T10:01:00"/>
    <d v="1899-12-30T12:52:00"/>
    <n v="44"/>
    <n v="142"/>
    <x v="30"/>
    <n v="100"/>
    <s v="D-228"/>
    <x v="1"/>
    <s v="DISTRIBUCION"/>
    <s v="RED AEREA"/>
    <s v="N"/>
    <n v="24282"/>
    <n v="171"/>
    <n v="4.5603999999999999E-2"/>
    <n v="533754"/>
    <n v="4.5492867500758774E-2"/>
    <n v="0.125"/>
    <s v="S"/>
    <s v="R"/>
    <n v="0"/>
    <s v="F2361 AMTES"/>
    <s v="9FEAF"/>
    <s v="N"/>
    <n v="-1"/>
    <s v="N"/>
    <n v="-1"/>
    <s v="-"/>
    <s v="K0403204700 SE REPONE 1-15/3 AMP PROVOCADO POR ARDILLA SOBRE EL PUENTE Y LA LINEA MT A LA ALTURA DEL RANCHO EL JARDIN EN EL EJIDO ERIBERTO JARA DE LA COL. FCO. VILLA; LIC. 1506 RIM 225 EJECUTO XM84"/>
  </r>
  <r>
    <s v="DK"/>
    <s v="04"/>
    <s v="I"/>
    <s v="0289"/>
    <n v="2018"/>
    <x v="1"/>
    <x v="2"/>
    <s v="G"/>
    <x v="3"/>
    <x v="2"/>
    <s v="2018.02.15"/>
    <s v="2018.02.15"/>
    <d v="1899-12-30T10:34:00"/>
    <d v="1899-12-30T12:00:00"/>
    <n v="145"/>
    <n v="165"/>
    <x v="31"/>
    <n v="0"/>
    <s v="D-228"/>
    <x v="1"/>
    <s v="DISTRIBUCION"/>
    <s v="RED AEREA"/>
    <s v="N"/>
    <n v="14190"/>
    <n v="86"/>
    <n v="2.665E-2"/>
    <n v="533754"/>
    <n v="2.6585280859721894E-2"/>
    <n v="0.20799999999999999"/>
    <s v="S"/>
    <s v="R"/>
    <n v="0"/>
    <s v="F0642-C.C.1"/>
    <s v="9B51C"/>
    <s v="N"/>
    <n v="-1"/>
    <s v="N"/>
    <n v="-1"/>
    <s v="K0403204712"/>
    <s v="K0403204712 POR PAJAROS ENTRE PUENTES Y LINEA DE MEDIA TENSION  SE REPONE 1-65/3 AMPS EN LA FASE A, AVENIDA 22 195, COL. CRUZ CON CASITAS, RIM 206 LIC 1505, TNX4020  C  CCF:12:00PM_x000d__x000a_"/>
  </r>
  <r>
    <s v="DK"/>
    <s v="04"/>
    <s v="I"/>
    <s v="0292"/>
    <n v="2018"/>
    <x v="1"/>
    <x v="2"/>
    <s v="G"/>
    <x v="6"/>
    <x v="7"/>
    <s v="2018.02.16"/>
    <s v="2018.02.17"/>
    <d v="1899-12-30T22:55:00"/>
    <d v="1899-12-30T00:00:00"/>
    <n v="125"/>
    <n v="112"/>
    <x v="32"/>
    <n v="0"/>
    <s v="D-228"/>
    <x v="0"/>
    <s v="DISTRIBUCION"/>
    <s v="RED AEREA"/>
    <s v="N"/>
    <n v="7280"/>
    <n v="65"/>
    <n v="1.3672E-2"/>
    <n v="533754"/>
    <n v="1.363924204783477E-2"/>
    <n v="0.13500000000000001"/>
    <s v="S"/>
    <s v="R"/>
    <n v="0"/>
    <s v="F0548-INSURG"/>
    <s v="9DY4F"/>
    <s v="N"/>
    <n v="-1"/>
    <s v="N"/>
    <n v="-1"/>
    <s v="K0403205607"/>
    <s v="K0403205607; COL.PATRIA NUEVA SE ORIGINA FALLA POR  FALSO CONTACTO EN CCF DE SECC CALLE ALAMO; SE REPONE 1-65/3 FASE C; TGD 04060 -R0021 COL.PATRIA NUEVA ,RIM DK04-CCC-0214 LIC 1550 RIM ,SE CIERRA CCF 00:00HRS"/>
  </r>
  <r>
    <s v="DK"/>
    <s v="04"/>
    <s v="I"/>
    <s v="0295"/>
    <n v="2018"/>
    <x v="1"/>
    <x v="5"/>
    <s v="*"/>
    <x v="18"/>
    <x v="6"/>
    <s v="2018.02.17"/>
    <s v="2018.02.17"/>
    <d v="1899-12-30T07:43:00"/>
    <d v="1899-12-30T13:03:00"/>
    <n v="55"/>
    <n v="43"/>
    <x v="33"/>
    <n v="100"/>
    <s v="D-228"/>
    <x v="1"/>
    <s v="DISTRIBUCION"/>
    <s v="RED AEREA"/>
    <s v="N"/>
    <n v="13760"/>
    <n v="320"/>
    <n v="2.5842E-2"/>
    <n v="533754"/>
    <n v="2.577966628821517E-2"/>
    <n v="0.29299999999999998"/>
    <s v="S"/>
    <s v="R"/>
    <n v="0"/>
    <s v="COL SAN JOSE"/>
    <s v="9M92B"/>
    <s v="N"/>
    <n v="-1"/>
    <s v="N"/>
    <n v="-1"/>
    <s v="K0403205611"/>
    <s v="K0403205611 REPORTA XM 902 SE REPONEN 2-25/3 AMP EN SECCIONADORA  DEL CTO SMJ 4012 RIM 78 LICENCIA 1555 CAUSA AVE ROMPE DISTANCIA, AV DR BELISARIO DOMINGUEZ, SIMOJOVEL, SE CIERRA CCF 13:03 HRS"/>
  </r>
  <r>
    <s v="DK"/>
    <s v="04"/>
    <s v="I"/>
    <s v="0329"/>
    <n v="2018"/>
    <x v="1"/>
    <x v="3"/>
    <s v="*"/>
    <x v="17"/>
    <x v="2"/>
    <s v="2018.02.18"/>
    <s v="2018.02.18"/>
    <d v="1899-12-30T11:50:00"/>
    <d v="1899-12-30T14:30:00"/>
    <n v="35"/>
    <n v="56"/>
    <x v="34"/>
    <n v="100"/>
    <s v="D-319"/>
    <x v="1"/>
    <s v="DISTRIBUCION"/>
    <s v="RED AEREA"/>
    <s v="N"/>
    <n v="8960"/>
    <n v="160"/>
    <n v="1.6827999999999999E-2"/>
    <n v="533754"/>
    <n v="1.6786759443488949E-2"/>
    <n v="9.2999999999999999E-2"/>
    <s v="S"/>
    <s v="R"/>
    <n v="0"/>
    <s v="RAMAL"/>
    <s v="9MNT3"/>
    <s v="N"/>
    <n v="-1"/>
    <s v="N"/>
    <n v="-1"/>
    <s v="-"/>
    <s v="K0403205921  AVE PEGA ENTRE PUENTES DE M.T. EN T.D.  SE LOCALIZA APARTARRAYO DAÑADO, SE REPONE (1-15/3) EN SECCIONADORA BARRIO CHUCAMAY, LIC 1569, OCZ4020, XM602; C CCF. 14:30HRS."/>
  </r>
  <r>
    <s v="DK"/>
    <s v="04"/>
    <s v="I"/>
    <s v="0288"/>
    <n v="2018"/>
    <x v="1"/>
    <x v="1"/>
    <s v="*"/>
    <x v="8"/>
    <x v="0"/>
    <s v="2018.02.18"/>
    <s v="2018.02.18"/>
    <d v="1899-12-30T14:27:00"/>
    <d v="1899-12-30T15:20:00"/>
    <n v="500"/>
    <n v="5"/>
    <x v="35"/>
    <n v="100"/>
    <s v="D-251"/>
    <x v="0"/>
    <s v="DISTRIBUCION"/>
    <s v="RED AEREA"/>
    <s v="N"/>
    <n v="265"/>
    <n v="53"/>
    <n v="4.9799999999999996E-4"/>
    <n v="533754"/>
    <n v="4.9648339871926023E-4"/>
    <n v="0.442"/>
    <s v="S"/>
    <s v="R"/>
    <n v="0"/>
    <s v="BOMBEO SAN F"/>
    <s v="9FEA2"/>
    <s v="N"/>
    <n v="-1"/>
    <s v="N"/>
    <n v="-1"/>
    <s v="-"/>
    <s v="LIC 1570 CUAD XM 501 EN PATRULLAJE DETECTA PUNTO CALIENTE  EN CONECT LV..SE ABRE  INT JUY 4030 PARA ABRIR SIN CARGA C0348, SE CORRIGE Y RESTABCECE  RIM DK04-TXF-0279,"/>
  </r>
  <r>
    <s v="DK"/>
    <s v="04"/>
    <s v="I"/>
    <s v="0287"/>
    <n v="2018"/>
    <x v="1"/>
    <x v="1"/>
    <s v="*"/>
    <x v="4"/>
    <x v="0"/>
    <s v="2018.02.18"/>
    <s v="2018.02.18"/>
    <d v="1899-12-30T16:11:00"/>
    <d v="1899-12-30T18:20:00"/>
    <n v="72"/>
    <n v="139"/>
    <x v="36"/>
    <n v="100"/>
    <s v="D-228"/>
    <x v="1"/>
    <s v="DISTRIBUCION"/>
    <s v="RED AEREA"/>
    <s v="N"/>
    <n v="17931"/>
    <n v="129"/>
    <n v="3.3675999999999998E-2"/>
    <n v="533754"/>
    <n v="3.3594127631830395E-2"/>
    <n v="0.155"/>
    <s v="S"/>
    <s v="R"/>
    <n v="0"/>
    <s v="BARTOLOME"/>
    <s v="9DW0G"/>
    <s v="N"/>
    <n v="-1"/>
    <s v="N"/>
    <n v="-1"/>
    <s v="K0403205948"/>
    <s v="K0403205948 ,CALLE TOMAS CUESTA 590 , SAN BARTOLOME,   1-40/3 UN  FUS DE 2 AMP EN TD DE 45 KVA DEL CTI GIA 4030 RIM 280 LICENCIA  1578 CAUSAS AVE ROMPE DISTANCIA EN TD.45 KVA, 18:20 CIERRA CCF"/>
  </r>
  <r>
    <s v="DK"/>
    <s v="04"/>
    <s v="I"/>
    <s v="0338"/>
    <n v="2018"/>
    <x v="1"/>
    <x v="2"/>
    <s v="G"/>
    <x v="3"/>
    <x v="3"/>
    <s v="2018.02.20"/>
    <s v="2018.02.20"/>
    <d v="1899-12-30T20:18:00"/>
    <d v="1899-12-30T23:45:00"/>
    <n v="50"/>
    <n v="52"/>
    <x v="37"/>
    <n v="0"/>
    <s v="D-228"/>
    <x v="1"/>
    <s v="DISTRIBUCION"/>
    <s v="RED AEREA"/>
    <s v="N"/>
    <n v="10764"/>
    <n v="207"/>
    <n v="2.0216000000000001E-2"/>
    <n v="533754"/>
    <n v="2.0166593599298552E-2"/>
    <n v="0.17199999999999999"/>
    <s v="S"/>
    <s v="R"/>
    <n v="0"/>
    <s v="F0330-ROSARI"/>
    <s v="K853R"/>
    <s v="N"/>
    <n v="-1"/>
    <s v="N"/>
    <n v="-1"/>
    <s v="K0403207651"/>
    <s v="K0403207651 XM209  COL EL ROSARIO U; SE RESTABLECE 1-40/3 EN SECC. FASE A Y EN T.D. PARTICULAR, UN AVE ENTRE PTES DE M.T. DE T.D. PART. CON LIC.1644 RIM DK04-CCC-0227 CIRCUITO TXN 4010, SE CIERRA CCF 23:45 HRS"/>
  </r>
  <r>
    <s v="DK"/>
    <s v="04"/>
    <s v="I"/>
    <s v="0340"/>
    <n v="2018"/>
    <x v="1"/>
    <x v="2"/>
    <s v="G"/>
    <x v="3"/>
    <x v="3"/>
    <s v="2018.02.21"/>
    <s v="2018.02.22"/>
    <d v="1899-12-30T23:21:00"/>
    <d v="1899-12-30T02:59:00"/>
    <n v="50"/>
    <n v="82"/>
    <x v="38"/>
    <n v="0"/>
    <s v="D-228"/>
    <x v="0"/>
    <s v="DISTRIBUCION"/>
    <s v="RED AEREA"/>
    <s v="N"/>
    <n v="17876"/>
    <n v="218"/>
    <n v="3.3572999999999999E-2"/>
    <n v="533754"/>
    <n v="3.3491083907567908E-2"/>
    <n v="0.182"/>
    <s v="S"/>
    <s v="R"/>
    <n v="0"/>
    <s v="F0327-PARAI2"/>
    <s v="9B57E"/>
    <s v="N"/>
    <n v="-1"/>
    <s v="N"/>
    <n v="-1"/>
    <s v="K0403208186"/>
    <s v="K0403208186 XM209 RESTABLECE FUS EN SEC FASE B, OPERA POR FUS INADECUADO, SE ENCOTRO CON FUS DE 5 AMP Y SE DEJA CON FUS DE 1-25/3 AMP, LIC. 1683 RIM DK04-CCC-0234 CIRCUITO TXN 4010"/>
  </r>
  <r>
    <s v="DK"/>
    <s v="04"/>
    <s v="I"/>
    <s v="0353"/>
    <n v="2018"/>
    <x v="1"/>
    <x v="1"/>
    <s v="*"/>
    <x v="4"/>
    <x v="13"/>
    <s v="2018.02.23"/>
    <s v="2018.02.23"/>
    <d v="1899-12-30T11:06:00"/>
    <d v="1899-12-30T20:33:00"/>
    <n v="46"/>
    <n v="59"/>
    <x v="39"/>
    <n v="100"/>
    <s v="D-228"/>
    <x v="0"/>
    <s v="DISTRIBUCION"/>
    <s v="RED AEREA"/>
    <s v="N"/>
    <n v="33453"/>
    <n v="567"/>
    <n v="6.2827999999999995E-2"/>
    <n v="533754"/>
    <n v="6.2674940140963808E-2"/>
    <n v="0.435"/>
    <s v="S"/>
    <s v="R"/>
    <n v="0"/>
    <s v="EST SN"/>
    <s v="9AMNK"/>
    <s v="N"/>
    <n v="-1"/>
    <s v="N"/>
    <n v="-1"/>
    <s v="K0403208817"/>
    <s v="K0403208817 REPORTA XM 57 SE REPONE 1-25/3 AMPERES EN SECCIONADORA DEL CTO GIA 5010 CON AL RIM 300 LICENCIA 1756 CAUSAS FALSO CONTACTO EN ARGOLLA DE FUSIBLE, 1A SUR OTE S/N, EL PARRAL, VILLACORZO; C CCF 20:33 HRS"/>
  </r>
  <r>
    <s v="DK"/>
    <s v="04"/>
    <s v="I"/>
    <s v="0333"/>
    <n v="2018"/>
    <x v="1"/>
    <x v="1"/>
    <s v="*"/>
    <x v="4"/>
    <x v="3"/>
    <s v="2018.02.23"/>
    <s v="2018.02.23"/>
    <d v="1899-12-30T07:11:00"/>
    <d v="1899-12-30T19:22:00"/>
    <n v="26"/>
    <n v="34"/>
    <x v="40"/>
    <n v="100"/>
    <s v="D-228"/>
    <x v="1"/>
    <s v="DISTRIBUCION"/>
    <s v="RED AEREA"/>
    <s v="N"/>
    <n v="24854"/>
    <n v="731"/>
    <n v="4.6677999999999997E-2"/>
    <n v="533754"/>
    <n v="4.656452223308865E-2"/>
    <n v="0.317"/>
    <s v="S"/>
    <s v="R"/>
    <n v="0"/>
    <s v="ZARAGOZA"/>
    <s v="9DW0G"/>
    <s v="N"/>
    <n v="-1"/>
    <s v="N"/>
    <n v="-1"/>
    <s v="K0403208640"/>
    <s v="K0403208640 , RIBERA ZARAGOZA,  SE REPONE 1-15 /3 EN SECCIONADORA DEL CTO GIA 4010 RIM 299 LICENCIA 1754 CAUSA AVE ROMPE DISTANCIA RIM DK04-TXF-0299, LIC 1754, CARR TUXTLA-PARRAL KM27, C CCF 19:22 HRS"/>
  </r>
  <r>
    <s v="DK"/>
    <s v="04"/>
    <s v="I"/>
    <s v="0350"/>
    <n v="2018"/>
    <x v="1"/>
    <x v="2"/>
    <s v="G"/>
    <x v="5"/>
    <x v="10"/>
    <s v="2018.02.25"/>
    <s v="2018.02.25"/>
    <d v="1899-12-30T15:50:00"/>
    <d v="1899-12-30T17:20:00"/>
    <n v="60"/>
    <n v="106"/>
    <x v="41"/>
    <n v="0"/>
    <s v="D-228"/>
    <x v="1"/>
    <s v="DISTRIBUCION"/>
    <s v="RED AEREA"/>
    <s v="N"/>
    <n v="9540"/>
    <n v="90"/>
    <n v="1.7916999999999999E-2"/>
    <n v="533754"/>
    <n v="1.7873402353893366E-2"/>
    <n v="0.09"/>
    <s v="S"/>
    <s v="R"/>
    <n v="0"/>
    <s v="F0366-4ASURP"/>
    <s v="9FB76"/>
    <s v="N"/>
    <n v="-1"/>
    <s v="N"/>
    <n v="-1"/>
    <s v="K0403209313"/>
    <s v="K0403209313 AVE ROMPE DISTANCIA REPORTA XM 207 SE REPONE 1-25/3 AMPERES EN SECCIONADORA FASE B DEL CIRCUITO TGU4050, 5A SUR PTE 1148, TUXTLA GUTIERREZ; CON LA RIM 251 LICENCIA 1799 C-CCF 17:20HRS"/>
  </r>
  <r>
    <s v="DK"/>
    <s v="04"/>
    <s v="I"/>
    <s v="0336"/>
    <n v="2018"/>
    <x v="1"/>
    <x v="1"/>
    <s v="*"/>
    <x v="4"/>
    <x v="13"/>
    <s v="2018.02.25"/>
    <s v="2018.02.25"/>
    <d v="1899-12-30T16:42:00"/>
    <d v="1899-12-30T17:22:00"/>
    <n v="20"/>
    <n v="20"/>
    <x v="42"/>
    <n v="100"/>
    <s v="D-228"/>
    <x v="0"/>
    <s v="DISTRIBUCION"/>
    <s v="RED AEREA"/>
    <s v="N"/>
    <n v="800"/>
    <n v="40"/>
    <n v="1.5020000000000001E-3"/>
    <n v="533754"/>
    <n v="1.4988178074543705E-3"/>
    <n v="1.2999999999999999E-2"/>
    <s v="S"/>
    <s v="R"/>
    <n v="0"/>
    <s v="EST 43A"/>
    <s v="9DW0G"/>
    <s v="N"/>
    <n v="-1"/>
    <s v="N"/>
    <n v="-1"/>
    <s v="-"/>
    <s v="K0403209315, POR PUNTO CALIENTE SE GENERA FALSO CONTACTO EN CCF SE APLICO SEGADO DE FUSIBLES EN RAMAL, SE RESTABLECE FASE B EN LA SECC, RIM DK04-TXF-0312, LIC 1798 XM 57, C CCF 17:22 HRS.  COL. REAL 20 DE MAYO, POB. RIBERA LAS FLECHAS"/>
  </r>
  <r>
    <s v="DK"/>
    <s v="04"/>
    <s v="I"/>
    <s v="0371"/>
    <n v="2018"/>
    <x v="1"/>
    <x v="0"/>
    <s v="*"/>
    <x v="0"/>
    <x v="10"/>
    <s v="2018.02.26"/>
    <s v="2018.02.26"/>
    <d v="1899-12-30T08:15:00"/>
    <d v="1899-12-30T11:10:00"/>
    <n v="140"/>
    <n v="8"/>
    <x v="43"/>
    <n v="100"/>
    <s v="D-228"/>
    <x v="1"/>
    <s v="DISTRIBUCION"/>
    <s v="RED AEREA"/>
    <s v="N"/>
    <n v="1400"/>
    <n v="175"/>
    <n v="2.6289999999999998E-3"/>
    <n v="533754"/>
    <n v="2.6229311630451483E-3"/>
    <n v="0.40799999999999997"/>
    <s v="S"/>
    <s v="R"/>
    <n v="0"/>
    <s v="F2248- U DEP"/>
    <s v="9FEA3"/>
    <s v="N"/>
    <n v="-1"/>
    <s v="N"/>
    <n v="-1"/>
    <s v="K0403209367"/>
    <s v="K0403209367 RESTABLECER SECC PRINCIPAL DE 40 AMP Y T.D. 75 KVA,UNA ARDILLA PEGA CON PUENTE DE T.D.  VILLACORZO ///EJECUTA RIM.-10:14 HRS///BLOQ. 79.- 10:18 HRS///11:10 CIERRA CCF/// DESBLOQ. 79.- 11:20 HRS L: 1806"/>
  </r>
  <r>
    <s v="DK"/>
    <s v="04"/>
    <s v="I"/>
    <s v="0370"/>
    <n v="2018"/>
    <x v="1"/>
    <x v="0"/>
    <s v="*"/>
    <x v="19"/>
    <x v="2"/>
    <s v="2018.02.26"/>
    <s v="2018.02.28"/>
    <d v="1899-12-30T13:38:00"/>
    <d v="1899-12-30T14:32:00"/>
    <n v="9"/>
    <n v="5"/>
    <x v="44"/>
    <n v="100"/>
    <s v="D-228"/>
    <x v="0"/>
    <s v="DISTRIBUCION"/>
    <s v="RED AEREA"/>
    <s v="N"/>
    <n v="14670"/>
    <n v="2934"/>
    <n v="2.7552E-2"/>
    <n v="533754"/>
    <n v="2.7484571544194515E-2"/>
    <n v="0.44"/>
    <s v="S"/>
    <s v="R"/>
    <n v="0"/>
    <s v="F2278-CHICHA"/>
    <s v="9FEA3"/>
    <s v="N"/>
    <n v="-1"/>
    <s v="N"/>
    <n v="-1"/>
    <s v="K0403209841"/>
    <s v="K0403209841 SISTEMA DE RIEGO LA CONCORDIA FALSO CONTACTO EN CORTACIRCUITO FUSIBLE SE RESTABLECE 1-10/3 EN FASE B; XM 800; C CCF. 14:32 HRS"/>
  </r>
  <r>
    <s v="DK"/>
    <s v="04"/>
    <s v="I"/>
    <s v="0369"/>
    <n v="2018"/>
    <x v="1"/>
    <x v="0"/>
    <s v="*"/>
    <x v="0"/>
    <x v="2"/>
    <s v="2018.02.27"/>
    <s v="2018.02.27"/>
    <d v="1899-12-30T12:12:00"/>
    <d v="1899-12-30T14:05:00"/>
    <n v="30"/>
    <n v="59"/>
    <x v="45"/>
    <n v="100"/>
    <s v="D-228"/>
    <x v="1"/>
    <s v="DISTRIBUCION"/>
    <s v="RED AEREA"/>
    <s v="N"/>
    <n v="6667"/>
    <n v="113"/>
    <n v="1.2520999999999999E-2"/>
    <n v="533754"/>
    <n v="1.2490772902872859E-2"/>
    <n v="5.7000000000000002E-2"/>
    <s v="S"/>
    <s v="R"/>
    <n v="0"/>
    <s v="V.HGO.CAMINO"/>
    <s v="QU619"/>
    <s v="N"/>
    <n v="-1"/>
    <s v="N"/>
    <n v="-1"/>
    <s v="K0403210531"/>
    <s v="K0403210531 CAMINO VILLAHIDALGO VFD;A CAUSA DE AVE QUE PEGA EN PUENTE DE TD DE 25 KVA CONV, LIC  1863 Y RIM 275 ATIENDE XM82; SE REPONE 1-15/3 EN SECCIONADORA VILLA HIDALGO SE BLOQ 79 VFD 4020 13:43 //SE CIERRA CCF14:05HRS"/>
  </r>
  <r>
    <s v="DK"/>
    <s v="04"/>
    <s v="I"/>
    <s v="0378"/>
    <n v="2018"/>
    <x v="2"/>
    <x v="2"/>
    <s v="G"/>
    <x v="3"/>
    <x v="3"/>
    <s v="2018.03.01"/>
    <s v="2018.03.01"/>
    <d v="1899-12-30T08:56:00"/>
    <d v="1899-12-30T10:42:00"/>
    <n v="53"/>
    <n v="83"/>
    <x v="46"/>
    <n v="0"/>
    <s v="D-228"/>
    <x v="1"/>
    <s v="DISTRIBUCION"/>
    <s v="RED AEREA"/>
    <s v="N"/>
    <n v="8798"/>
    <n v="106"/>
    <n v="1.6511000000000001E-2"/>
    <n v="533754"/>
    <n v="1.6483248837479439E-2"/>
    <n v="9.4E-2"/>
    <s v="S"/>
    <s v="R"/>
    <n v="0"/>
    <s v="F0322-MANGU3"/>
    <s v="9B51C"/>
    <s v="N"/>
    <n v="-1"/>
    <s v="N"/>
    <n v="-1"/>
    <s v="K0403211888"/>
    <s v="K0403211888 AVE ROMPE DISTANCIA Y PROVOCA FALLA, SE REPONE UN 1-15/3 AMP UN1-3/3 AMPS EN TRANSF DE 37.5 TXN 4010 LIC1922, C-CCF 10:42 HRS"/>
  </r>
  <r>
    <s v="DK"/>
    <s v="04"/>
    <s v="I"/>
    <s v="0391"/>
    <n v="2018"/>
    <x v="2"/>
    <x v="0"/>
    <s v="*"/>
    <x v="9"/>
    <x v="3"/>
    <s v="2018.03.02"/>
    <s v="2018.03.02"/>
    <d v="1899-12-30T13:37:00"/>
    <d v="1899-12-30T16:51:00"/>
    <n v="1"/>
    <n v="8"/>
    <x v="47"/>
    <n v="100"/>
    <s v="D-228"/>
    <x v="1"/>
    <s v="DISTRIBUCION"/>
    <s v="RED AEREA"/>
    <s v="N"/>
    <n v="1552"/>
    <n v="194"/>
    <n v="2.9129999999999998E-3"/>
    <n v="533754"/>
    <n v="2.9077065464614784E-3"/>
    <n v="3.0000000000000001E-3"/>
    <s v="S"/>
    <s v="R"/>
    <n v="0"/>
    <s v="SINALOENSE"/>
    <s v="K860R"/>
    <s v="N"/>
    <n v="-1"/>
    <s v="N"/>
    <n v="-1"/>
    <s v="K0403212478"/>
    <s v="%K0403212478  COL JOAQUIN M GUTIERREZ  A CAUSA DE AVE QUE PEGA EN MT REPORTA XM 86 SE REPONE 1-25/3 EN SECCIONADORA FASE A DEL CTO LGZ 4010 CON LA RIM 287 LA LICENCIA 1982 SE BLOQ 79 LGZ 4010 16:37 H // SE CIERRA CCF 16:51  HRS"/>
  </r>
  <r>
    <s v="DK"/>
    <s v="04"/>
    <s v="I"/>
    <s v="0397"/>
    <n v="2018"/>
    <x v="2"/>
    <x v="1"/>
    <s v="*"/>
    <x v="4"/>
    <x v="3"/>
    <s v="2018.03.02"/>
    <s v="2018.03.02"/>
    <d v="1899-12-30T15:18:00"/>
    <d v="1899-12-30T15:22:00"/>
    <n v="3998"/>
    <m/>
    <x v="9"/>
    <n v="100"/>
    <s v="D-228"/>
    <x v="3"/>
    <s v="DISTRIBUCION"/>
    <s v="RED AEREA"/>
    <m/>
    <m/>
    <n v="4"/>
    <m/>
    <n v="533754"/>
    <m/>
    <n v="0.26700000000000002"/>
    <s v="S"/>
    <s v="T"/>
    <s v="************"/>
    <n v="0"/>
    <s v="9FLGD"/>
    <s v="N"/>
    <n v="-1"/>
    <s v="N"/>
    <n v="-1"/>
    <s v="-"/>
    <s v="%LIC 1934, DK04-TXF-0331 LA APERTURA DEL EQUIPO FUE SOLAMENTE PARA MANIOBRA DE RESTABLECIMIENTO POR LIBRANZA DE EMERGENCIA DEL GIA 4010-CARGA TRANFERIDA AL AAA 4015..PM QUEMADO.( REF FOLIOS 360,361,362 Y 363)"/>
  </r>
  <r>
    <s v="DK"/>
    <s v="04"/>
    <s v="I"/>
    <s v="0392"/>
    <n v="2018"/>
    <x v="2"/>
    <x v="0"/>
    <s v="*"/>
    <x v="0"/>
    <x v="3"/>
    <s v="2018.03.02"/>
    <s v="2018.03.02"/>
    <d v="1899-12-30T20:40:00"/>
    <d v="1899-12-30T21:40:00"/>
    <n v="42"/>
    <n v="102"/>
    <x v="48"/>
    <n v="100"/>
    <s v="D-228"/>
    <x v="6"/>
    <s v="DISTRIBUCION"/>
    <s v="RED AEREA"/>
    <s v="N"/>
    <n v="6120"/>
    <n v="60"/>
    <n v="1.1485E-2"/>
    <n v="533754"/>
    <n v="1.1465956227025934E-2"/>
    <n v="4.2000000000000003E-2"/>
    <s v="S"/>
    <s v="R"/>
    <n v="0"/>
    <s v="F2213 4 PTE"/>
    <s v="K860R"/>
    <s v="N"/>
    <n v="-1"/>
    <s v="N"/>
    <n v="-1"/>
    <s v="K0403212573"/>
    <s v="K0403212573  A CAUSA DE SOBRE CARGA OPERA SECCIONAMIENTO  SE REPONE 1-25/3 EN LA SECCIONADORA  DEL CIRCUITO VFD 4010  CON LA RIM 298 LICENCIA 1989 RIM 21:20 HRS// SE BLOQ 79 VFD 4010 21:32 HRS. // SE CIERRA CCF 21:40 HRS // SE HABILITA 79 21:52"/>
  </r>
  <r>
    <s v="DK"/>
    <s v="04"/>
    <s v="I"/>
    <s v="0390"/>
    <n v="2018"/>
    <x v="2"/>
    <x v="0"/>
    <s v="*"/>
    <x v="0"/>
    <x v="2"/>
    <s v="2018.03.02"/>
    <s v="2018.03.02"/>
    <d v="1899-12-30T08:00:00"/>
    <d v="1899-12-30T10:51:00"/>
    <n v="8"/>
    <n v="80"/>
    <x v="49"/>
    <n v="100"/>
    <s v="D-255"/>
    <x v="0"/>
    <s v="DISTRIBUCION"/>
    <s v="RED AEREA"/>
    <s v="N"/>
    <n v="13680"/>
    <n v="171"/>
    <n v="2.5673000000000001E-2"/>
    <n v="533754"/>
    <n v="2.5629784507469732E-2"/>
    <n v="2.3E-2"/>
    <s v="S"/>
    <s v="R"/>
    <n v="0"/>
    <s v="F2228- 8 OTE"/>
    <s v="9MNNF"/>
    <s v="N"/>
    <n v="-1"/>
    <s v="N"/>
    <n v="-1"/>
    <s v="K0403212278"/>
    <s v="%K0403212278; EN VILLAFLORES 1° AV SUR; A CAUSA DE FALSO CONTACTO SE REPONE CONECTOR PERICO DANADO EN LA SECCIONADORA DE LA 8VA OTE FASE A INDICA XM  82 RIM 284 LIC  1953 ATIENDE  ATIENDE XM  82 EJECUTAN RIM HR 09:53"/>
  </r>
  <r>
    <s v="DK"/>
    <s v="04"/>
    <s v="I"/>
    <s v="0382"/>
    <n v="2018"/>
    <x v="2"/>
    <x v="2"/>
    <s v="G"/>
    <x v="3"/>
    <x v="14"/>
    <s v="2018.03.02"/>
    <s v="2018.03.02"/>
    <d v="1899-12-30T11:37:00"/>
    <d v="1899-12-30T13:05:00"/>
    <n v="60"/>
    <n v="60"/>
    <x v="50"/>
    <n v="0"/>
    <s v="D-228"/>
    <x v="1"/>
    <s v="DISTRIBUCION"/>
    <s v="RED AEREA"/>
    <s v="N"/>
    <n v="5280"/>
    <n v="88"/>
    <n v="9.9089999999999994E-3"/>
    <n v="533754"/>
    <n v="9.8921975291988446E-3"/>
    <n v="8.7999999999999995E-2"/>
    <s v="S"/>
    <s v="R"/>
    <n v="0"/>
    <s v="F0214-CCF 3D"/>
    <s v="9B51C"/>
    <s v="N"/>
    <n v="-1"/>
    <s v="N"/>
    <n v="-1"/>
    <s v="K0403212381"/>
    <s v="%K0403212381 COL CHIAPAS SOLIDARIO A CAUSA DE CHOQUE DE AVE CON LINEA DE MT  SE REPONE 2-15/3 EN SECC S N  EN LAS FASES B Y C  LIC 1974// 12:42 EJECUTAN RIM ///SE BLOQUEA 79 TXN 4080 12:52//  C CCF 13:00//H 79  13:05"/>
  </r>
  <r>
    <s v="DK"/>
    <s v="04"/>
    <s v="I"/>
    <s v="0386"/>
    <n v="2018"/>
    <x v="2"/>
    <x v="2"/>
    <s v="G"/>
    <x v="11"/>
    <x v="4"/>
    <s v="2018.03.03"/>
    <s v="2018.03.03"/>
    <d v="1899-12-30T09:05:00"/>
    <d v="1899-12-30T13:09:00"/>
    <n v="126"/>
    <n v="60"/>
    <x v="51"/>
    <n v="0"/>
    <s v="D-228"/>
    <x v="0"/>
    <s v="DISTRIBUCION"/>
    <s v="RED AEREA"/>
    <s v="N"/>
    <n v="14640"/>
    <n v="244"/>
    <n v="2.7474999999999999E-2"/>
    <n v="533754"/>
    <n v="2.7428365876414978E-2"/>
    <n v="0.51200000000000001"/>
    <s v="S"/>
    <s v="R"/>
    <n v="0"/>
    <s v="F0487-16 SUR"/>
    <s v="K853R"/>
    <s v="N"/>
    <n v="-1"/>
    <s v="N"/>
    <n v="-1"/>
    <s v="K0403212608"/>
    <s v="K0403212608 COL SUR OTE 16° SUR; A CAUSA DE FALSO CONTACTO SE REALIZA REPOSICION DE 1-25/3 EN SECC F-B MAA-4040  RIM-284 LIC-2009 ATENDIO XM-205//12:30 EJECUTAN RIM // SE BLOQUEA 79 MAA 4040 HR 12:49 SE ABILITA 79 MAA 4040 HR 13:08"/>
  </r>
  <r>
    <s v="DK"/>
    <s v="04"/>
    <s v="I"/>
    <s v="0389"/>
    <n v="2018"/>
    <x v="2"/>
    <x v="2"/>
    <s v="G"/>
    <x v="5"/>
    <x v="2"/>
    <s v="2018.03.04"/>
    <s v="2018.03.04"/>
    <d v="1899-12-30T03:54:00"/>
    <d v="1899-12-30T09:07:00"/>
    <n v="33"/>
    <n v="82"/>
    <x v="52"/>
    <n v="0"/>
    <s v="D-228"/>
    <x v="0"/>
    <s v="DISTRIBUCION"/>
    <s v="RED AEREA"/>
    <s v="N"/>
    <n v="25666"/>
    <n v="313"/>
    <n v="4.8167000000000001E-2"/>
    <n v="533754"/>
    <n v="4.8085822307654839E-2"/>
    <n v="0.17199999999999999"/>
    <s v="S"/>
    <s v="R"/>
    <n v="0"/>
    <s v="F0127-SAHOP"/>
    <s v="K853R"/>
    <s v="N"/>
    <n v="-1"/>
    <s v="N"/>
    <n v="-1"/>
    <s v="K0403212688"/>
    <s v="K0403212688 FRAC: SAHOP; A CAUSA DE FALSO CONTACTO SE REALIZA LA REPOSICION DE 1-12/3 EN SECCC TGD-4020 RIM-291  LIC-2024 B 79 TGU 04020    09:00 C CCF 09:07, H 79 TGU 04020 09:11"/>
  </r>
  <r>
    <s v="DK"/>
    <s v="04"/>
    <s v="I"/>
    <s v="0388"/>
    <n v="2018"/>
    <x v="2"/>
    <x v="2"/>
    <s v="G"/>
    <x v="6"/>
    <x v="15"/>
    <s v="2018.03.04"/>
    <s v="2018.03.04"/>
    <d v="1899-12-30T10:39:00"/>
    <d v="1899-12-30T11:57:00"/>
    <n v="60"/>
    <n v="100"/>
    <x v="53"/>
    <n v="0"/>
    <s v="D-228"/>
    <x v="1"/>
    <s v="DISTRIBUCION"/>
    <s v="RED AEREA"/>
    <s v="N"/>
    <n v="7800"/>
    <n v="78"/>
    <n v="1.4638E-2"/>
    <n v="533754"/>
    <n v="1.4613473622680111E-2"/>
    <n v="7.8E-2"/>
    <s v="S"/>
    <s v="R"/>
    <n v="0"/>
    <s v="F0495-S.MAGI"/>
    <s v="K853R"/>
    <s v="N"/>
    <n v="-1"/>
    <s v="N"/>
    <n v="-1"/>
    <s v="K0403212693"/>
    <s v="K0403212693 COL: MAGISTERIAL A CAUSA DE AVE QUE PEGA EN LINEA DE MT SE ATIENDE RIM-294 TGD-4070 SE REPONE 1-25/3 EN LA F-A DE SECC XM-209  B 79 TGD 04070 11:53 C CCF 11:57, H 79 12:01; LIC-2034"/>
  </r>
  <r>
    <s v="DK"/>
    <s v="04"/>
    <s v="I"/>
    <s v="0399"/>
    <n v="2018"/>
    <x v="2"/>
    <x v="1"/>
    <s v="*"/>
    <x v="4"/>
    <x v="0"/>
    <s v="2018.03.04"/>
    <s v="2018.03.04"/>
    <d v="1899-12-30T01:15:00"/>
    <d v="1899-12-30T06:00:00"/>
    <n v="86"/>
    <n v="92"/>
    <x v="54"/>
    <n v="100"/>
    <s v="D-242"/>
    <x v="0"/>
    <s v="DISTRIBUCION"/>
    <s v="RED AEREA"/>
    <s v="N"/>
    <n v="26220"/>
    <n v="285"/>
    <n v="4.9207000000000001E-2"/>
    <n v="533754"/>
    <n v="4.9123753639316987E-2"/>
    <n v="0.40799999999999997"/>
    <s v="S"/>
    <s v="R"/>
    <n v="0"/>
    <s v="CARMEN TONAP"/>
    <s v="9B569"/>
    <s v="N"/>
    <n v="-1"/>
    <s v="N"/>
    <n v="-1"/>
    <s v="-"/>
    <s v="K0403212687 COL: EMILIANO ZAPATA/ BENITO J , JUAN DEL GRUJALVA, POR FALSO CONTACTO EN CONECTOR LV;SE RESTABLECE 1-25/3; 50 MTS DE LINEA  ROTA, RIM DK04-CCC-0289. LIC 2021 XM210; SE CIERRA CCF 06:00 HRS"/>
  </r>
  <r>
    <s v="DK"/>
    <s v="04"/>
    <s v="I"/>
    <s v="0606"/>
    <n v="2018"/>
    <x v="2"/>
    <x v="2"/>
    <s v="G"/>
    <x v="12"/>
    <x v="1"/>
    <s v="2018.03.04"/>
    <s v="2018.03.04"/>
    <d v="1899-12-30T13:50:00"/>
    <d v="1899-12-30T20:37:00"/>
    <n v="1"/>
    <n v="112"/>
    <x v="55"/>
    <n v="0"/>
    <s v="D-228"/>
    <x v="6"/>
    <s v="DISTRIBUCION"/>
    <s v="RED AEREA"/>
    <s v="N"/>
    <n v="45584"/>
    <n v="407"/>
    <n v="8.5546999999999998E-2"/>
    <n v="533754"/>
    <n v="8.5402638668750017E-2"/>
    <n v="7.0000000000000001E-3"/>
    <s v="S"/>
    <s v="R"/>
    <n v="0"/>
    <s v="F0857"/>
    <s v="9M92E"/>
    <s v="N"/>
    <n v="-1"/>
    <s v="N"/>
    <n v="-1"/>
    <s v="-"/>
    <s v="K0403212708 , SE ATIENDE RAMAL FALLA A UNA CUADRA DE NUEVO AMANECER, LIC 2036, LINEA ROTA EN MT CON APOYO DE XM208."/>
  </r>
  <r>
    <s v="DK"/>
    <s v="04"/>
    <s v="I"/>
    <s v="0410"/>
    <n v="2018"/>
    <x v="2"/>
    <x v="3"/>
    <s v="*"/>
    <x v="13"/>
    <x v="9"/>
    <s v="2018.03.07"/>
    <s v="2018.03.07"/>
    <d v="1899-12-30T09:43:00"/>
    <d v="1899-12-30T10:30:00"/>
    <n v="30"/>
    <n v="83"/>
    <x v="56"/>
    <n v="100"/>
    <s v="D-228"/>
    <x v="1"/>
    <s v="DISTRIBUCION"/>
    <s v="RED AEREA"/>
    <s v="N"/>
    <n v="3901"/>
    <n v="47"/>
    <n v="7.3210000000000003E-3"/>
    <n v="533754"/>
    <n v="7.3086103335993739E-3"/>
    <n v="2.4E-2"/>
    <s v="S"/>
    <s v="R"/>
    <n v="0"/>
    <s v="CAMP CHINT"/>
    <s v="9B57P"/>
    <s v="N"/>
    <n v="-1"/>
    <s v="N"/>
    <n v="-1"/>
    <s v="K0403214045"/>
    <s v="K0403214045; COL MALPASITO SE ENCONTRO AVE SOBRE LA LINEA, SE PROCEDIO A RETIRAR Y SE CERRO CON FUSIBLE 1-12/3, QUEDANDO CON ENERGIA RIM 434 LIC 2124 XM72/  RIM.- 09:45 HRS,, BLOQ. 79 MPE 4025.-10:04 HRS ///10:30 HR CIERRA CCF,, HABILITA 79 MPE 4025"/>
  </r>
  <r>
    <s v="DK"/>
    <s v="04"/>
    <s v="I"/>
    <s v="0408"/>
    <n v="2018"/>
    <x v="2"/>
    <x v="0"/>
    <s v="*"/>
    <x v="0"/>
    <x v="2"/>
    <s v="2018.03.07"/>
    <s v="2018.03.07"/>
    <d v="1899-12-30T12:32:00"/>
    <d v="1899-12-30T14:00:00"/>
    <n v="20"/>
    <n v="60"/>
    <x v="45"/>
    <n v="100"/>
    <s v="D-319"/>
    <x v="1"/>
    <s v="DISTRIBUCION"/>
    <s v="RED AEREA"/>
    <s v="N"/>
    <n v="5280"/>
    <n v="88"/>
    <n v="9.9089999999999994E-3"/>
    <n v="533754"/>
    <n v="9.8921975291988446E-3"/>
    <n v="2.9000000000000001E-2"/>
    <s v="S"/>
    <s v="R"/>
    <n v="0"/>
    <s v="V.HGO.CAMINO"/>
    <s v="9MNNF"/>
    <s v="N"/>
    <n v="-1"/>
    <s v="N"/>
    <n v="-1"/>
    <s v="K0403214158"/>
    <s v="A CAUSA DE AVE QUE PEFA EN APARTARRAYO Y PUENTE , DAÑA APARTARRAYO  OPERANDO LA FASE &quot;B&quot; SE ATIENDE CON SICCOS K0403214158; SE REPONE 1F/12A-R3 DE LA SECCEN VFD CAMINO A LA COL HIDALGO;; RIM 303 LIC 2139  QUEDA NORMALIZADO"/>
  </r>
  <r>
    <s v="DK"/>
    <s v="04"/>
    <s v="I"/>
    <s v="0460"/>
    <n v="2018"/>
    <x v="2"/>
    <x v="0"/>
    <s v="*"/>
    <x v="9"/>
    <x v="3"/>
    <s v="2018.03.07"/>
    <s v="2018.03.07"/>
    <d v="1899-12-30T09:12:00"/>
    <d v="1899-12-30T12:01:00"/>
    <n v="11"/>
    <n v="50"/>
    <x v="57"/>
    <n v="100"/>
    <s v="D-228"/>
    <x v="1"/>
    <s v="DISTRIBUCION"/>
    <s v="RED AEREA"/>
    <s v="N"/>
    <n v="8450"/>
    <n v="169"/>
    <n v="1.5858000000000001E-2"/>
    <n v="533754"/>
    <n v="1.5831263091236787E-2"/>
    <n v="3.1E-2"/>
    <s v="S"/>
    <s v="R"/>
    <n v="0"/>
    <s v="F2464-MELCHO"/>
    <s v="9M92W"/>
    <s v="N"/>
    <n v="-1"/>
    <s v="N"/>
    <n v="-1"/>
    <s v="-"/>
    <s v="SE REPONE 1F/10AMP3F EN SECCIONADORA MELCHOR OCAMPO,CAUSA OCACIONADA POR GANADO QUE GOLPEA RETENIDA RIM 2135 LIC 3135 SICOSS K0403213970 EJECUTA XM82._x000d__x000a_/03/2018"/>
  </r>
  <r>
    <s v="DK"/>
    <s v="04"/>
    <s v="I"/>
    <s v="0421"/>
    <n v="2018"/>
    <x v="2"/>
    <x v="1"/>
    <s v="*"/>
    <x v="8"/>
    <x v="3"/>
    <s v="2018.03.09"/>
    <s v="2018.03.09"/>
    <d v="1899-12-30T11:16:00"/>
    <d v="1899-12-30T17:15:00"/>
    <n v="46"/>
    <n v="67"/>
    <x v="58"/>
    <n v="100"/>
    <s v="D-228"/>
    <x v="1"/>
    <s v="DISTRIBUCION"/>
    <s v="RED AEREA"/>
    <s v="N"/>
    <n v="24053"/>
    <n v="359"/>
    <n v="4.514E-2"/>
    <n v="533754"/>
    <n v="4.5063830903374964E-2"/>
    <n v="0.27500000000000002"/>
    <s v="S"/>
    <s v="R"/>
    <n v="0"/>
    <s v="ZAPOTE"/>
    <s v="9DW0G"/>
    <s v="N"/>
    <n v="-1"/>
    <s v="N"/>
    <n v="-1"/>
    <s v="-"/>
    <s v="K0403214883 , RIBERA COPALAR SN FERN, SE RESTBLECE 1-25/3 CAUSA AVE EN PUENTE SECCIONADORA, RIM DK04-TXF-0378 16:45H, LIC 2227, XM 57"/>
  </r>
  <r>
    <s v="DK"/>
    <s v="04"/>
    <s v="I"/>
    <s v="0423"/>
    <n v="2018"/>
    <x v="2"/>
    <x v="1"/>
    <s v="*"/>
    <x v="4"/>
    <x v="13"/>
    <s v="2018.03.09"/>
    <s v="2018.03.09"/>
    <d v="1899-12-30T13:32:00"/>
    <d v="1899-12-30T21:45:00"/>
    <n v="41"/>
    <n v="55"/>
    <x v="59"/>
    <n v="100"/>
    <s v="D-228"/>
    <x v="1"/>
    <s v="DISTRIBUCION"/>
    <s v="RED AEREA"/>
    <s v="N"/>
    <n v="27115"/>
    <n v="493"/>
    <n v="5.0886000000000001E-2"/>
    <n v="533754"/>
    <n v="5.0800556061406564E-2"/>
    <n v="0.33700000000000002"/>
    <s v="S"/>
    <s v="R"/>
    <n v="0"/>
    <s v="EST 141"/>
    <s v="9DW0G"/>
    <s v="N"/>
    <n v="-1"/>
    <s v="N"/>
    <n v="-1"/>
    <s v="-"/>
    <s v="K0403214959 , JULIAN GRAJALES SE RESTABLECE 1-8/3 CAUSA AVE PEGA EN PUENTE MT , RIM DK04-TXF-0381 20:12H, LIC 2230, XM 57"/>
  </r>
  <r>
    <s v="DK"/>
    <s v="04"/>
    <s v="I"/>
    <s v="0424"/>
    <n v="2018"/>
    <x v="2"/>
    <x v="1"/>
    <s v="*"/>
    <x v="4"/>
    <x v="3"/>
    <s v="2018.03.09"/>
    <s v="2018.03.09"/>
    <d v="1899-12-30T16:43:00"/>
    <d v="1899-12-30T23:20:00"/>
    <n v="59"/>
    <n v="70"/>
    <x v="60"/>
    <n v="100"/>
    <s v="D-228"/>
    <x v="1"/>
    <s v="DISTRIBUCION"/>
    <s v="RED AEREA"/>
    <s v="N"/>
    <n v="27790"/>
    <n v="397"/>
    <n v="5.2152999999999998E-2"/>
    <n v="533754"/>
    <n v="5.2065183586446191E-2"/>
    <n v="0.39"/>
    <s v="S"/>
    <s v="R"/>
    <n v="0"/>
    <s v="MONTE RICO"/>
    <s v="9DW0G"/>
    <s v="N"/>
    <n v="-1"/>
    <s v="N"/>
    <n v="-1"/>
    <s v="-"/>
    <s v="K0403215072 , MONTERRICO, SE RESTABLECE 2F-10AMP/3F, CAUSA AVE ATERRIZA EN PUENTE MT, RIM dk04-txf-0382, LIC 2231 XM 57"/>
  </r>
  <r>
    <s v="DK"/>
    <s v="04"/>
    <s v="I"/>
    <s v="0422"/>
    <n v="2018"/>
    <x v="2"/>
    <x v="1"/>
    <s v="*"/>
    <x v="8"/>
    <x v="3"/>
    <s v="2018.03.09"/>
    <s v="2018.03.09"/>
    <d v="1899-12-30T16:25:00"/>
    <d v="1899-12-30T18:42:00"/>
    <n v="45"/>
    <n v="100"/>
    <x v="61"/>
    <n v="100"/>
    <s v="D-228"/>
    <x v="1"/>
    <s v="DISTRIBUCION"/>
    <s v="RED AEREA"/>
    <s v="N"/>
    <n v="13700"/>
    <n v="137"/>
    <n v="2.5711000000000001E-2"/>
    <n v="533754"/>
    <n v="2.5667254952656093E-2"/>
    <n v="0.10299999999999999"/>
    <s v="S"/>
    <s v="R"/>
    <n v="0"/>
    <s v="CARDENAS"/>
    <s v="9DW0G"/>
    <s v="N"/>
    <n v="-1"/>
    <s v="N"/>
    <n v="-1"/>
    <s v="-"/>
    <s v="K0403215060 , COL VIVA CARDENAS ,SE RESTABLECE 1-8/3 CAUSA AVE EN EL PUENTE SECC MT, RIM DK04-TXF-0380 18:26H, LIC 2229 XM 57"/>
  </r>
  <r>
    <s v="DK"/>
    <s v="04"/>
    <s v="I"/>
    <s v="0458"/>
    <n v="2018"/>
    <x v="2"/>
    <x v="5"/>
    <s v="*"/>
    <x v="20"/>
    <x v="9"/>
    <s v="2018.03.09"/>
    <s v="2018.03.09"/>
    <d v="1899-12-30T08:50:00"/>
    <d v="1899-12-30T09:59:00"/>
    <n v="36"/>
    <n v="46"/>
    <x v="9"/>
    <n v="100"/>
    <s v="D-228"/>
    <x v="0"/>
    <s v="DISTRIBUCION"/>
    <s v="RED AEREA"/>
    <s v="N"/>
    <n v="3174"/>
    <n v="69"/>
    <n v="5.9569999999999996E-3"/>
    <n v="533754"/>
    <n v="5.9465596510752143E-3"/>
    <n v="4.1000000000000002E-2"/>
    <s v="S"/>
    <s v="T"/>
    <s v="F2809-ADOLFO"/>
    <n v="0"/>
    <s v="9AMNX"/>
    <s v="N"/>
    <n v="-1"/>
    <s v="N"/>
    <n v="-1"/>
    <s v="-"/>
    <s v="K0403214800  SE REPONE 1F/25AMP/1F EN LA SECCIONADORA FALSO CONTACTO RAMAL HORIZONTE CTO SOY 4025 SE CIERRA 09:59 ATENDIO XM-900 Y XM-901, QUEDA RESTABLECIDO_x000d__x000a_"/>
  </r>
  <r>
    <s v="DK"/>
    <s v="04"/>
    <s v="I"/>
    <s v="0431"/>
    <n v="2018"/>
    <x v="2"/>
    <x v="3"/>
    <s v="*"/>
    <x v="14"/>
    <x v="3"/>
    <s v="2018.03.09"/>
    <s v="2018.03.09"/>
    <d v="1899-12-30T08:20:00"/>
    <d v="1899-12-30T13:42:00"/>
    <n v="61"/>
    <n v="120"/>
    <x v="62"/>
    <n v="100"/>
    <s v="D-228"/>
    <x v="7"/>
    <s v="DISTRIBUCION"/>
    <s v="RED AEREA"/>
    <s v="N"/>
    <n v="38640"/>
    <n v="322"/>
    <n v="7.2514999999999996E-2"/>
    <n v="533754"/>
    <n v="7.2392900100046093E-2"/>
    <n v="0.32700000000000001"/>
    <s v="S"/>
    <s v="R"/>
    <n v="0"/>
    <s v="MELCHOR OCAM"/>
    <s v="9M9C4"/>
    <s v="N"/>
    <n v="-1"/>
    <s v="N"/>
    <n v="-1"/>
    <s v="K0403214795"/>
    <s v="7.- SE LOCALIZA RAMAS SOBRE LA LINEA DE M.T.  PROVOCANDO LA OPERACION DE UNA FASE, POR LO QUE SE ATIENDE CON SICCOS K0403214795 SE RETIRA RAMAS Y SE REPONE 1-25/3 CON LIC  2221 RIM 452 QUEDA NORMALIZADO."/>
  </r>
  <r>
    <s v="DK"/>
    <s v="04"/>
    <s v="I"/>
    <s v="0428"/>
    <n v="2018"/>
    <x v="2"/>
    <x v="0"/>
    <s v="*"/>
    <x v="9"/>
    <x v="3"/>
    <s v="2018.03.10"/>
    <s v="2018.03.10"/>
    <d v="1899-12-30T14:51:00"/>
    <d v="1899-12-30T17:05:00"/>
    <n v="4"/>
    <n v="71"/>
    <x v="63"/>
    <n v="100"/>
    <s v="D-228"/>
    <x v="1"/>
    <s v="DISTRIBUCION"/>
    <s v="RED AEREA"/>
    <s v="N"/>
    <n v="9514"/>
    <n v="134"/>
    <n v="1.7854999999999999E-2"/>
    <n v="533754"/>
    <n v="1.78246907751511E-2"/>
    <n v="8.9999999999999993E-3"/>
    <s v="S"/>
    <s v="R"/>
    <n v="0"/>
    <s v="F2433 GRANO2"/>
    <s v="K853R"/>
    <s v="N"/>
    <n v="-1"/>
    <s v="N"/>
    <n v="-1"/>
    <s v="K0403215181"/>
    <s v="AVE PEGA CON LA MEDIA TENSION, OCASIONANDO LA OPERACION DE 1 FASE DEL RAMAL GRANO DE ORO, SE REPONE 1F/25A/R3 EN SECCCC, SE ATIENDE CON SICCOS DK0403215181, RIM-320 LIC-2244 QUED ATODO NORMAL."/>
  </r>
  <r>
    <s v="DK"/>
    <s v="04"/>
    <s v="I"/>
    <s v="0433"/>
    <n v="2018"/>
    <x v="2"/>
    <x v="1"/>
    <s v="*"/>
    <x v="4"/>
    <x v="3"/>
    <s v="2018.03.11"/>
    <s v="2018.03.11"/>
    <d v="1899-12-30T10:57:00"/>
    <d v="1899-12-30T13:32:00"/>
    <n v="10"/>
    <n v="13"/>
    <x v="64"/>
    <n v="100"/>
    <s v="D-228"/>
    <x v="1"/>
    <s v="DISTRIBUCION"/>
    <s v="RED AEREA"/>
    <s v="N"/>
    <n v="2015"/>
    <n v="155"/>
    <n v="3.7820000000000002E-3"/>
    <n v="533754"/>
    <n v="3.7751473525256952E-3"/>
    <n v="2.5999999999999999E-2"/>
    <s v="S"/>
    <s v="R"/>
    <n v="0"/>
    <s v="2OTE 2SUR"/>
    <s v="9MNT1"/>
    <s v="N"/>
    <n v="-1"/>
    <s v="N"/>
    <n v="-1"/>
    <s v="K0403215218"/>
    <s v="K0403215218 , 1A PONIENTE NORTE  COL 20 DE NIVIEMBRE, SE REPONE 1-8/3 CAUSA  AVE CAUSA CC EN PUENTE DE MT  ATIENDE XM 56LICENCIA 2261 EN VIVO RIM DK04-TXF-0387"/>
  </r>
  <r>
    <s v="DK"/>
    <s v="04"/>
    <s v="I"/>
    <s v="0426"/>
    <n v="2018"/>
    <x v="2"/>
    <x v="1"/>
    <s v="*"/>
    <x v="8"/>
    <x v="3"/>
    <s v="2018.03.11"/>
    <s v="2018.03.11"/>
    <d v="1899-12-30T18:27:00"/>
    <d v="1899-12-30T21:40:00"/>
    <n v="45"/>
    <n v="100"/>
    <x v="65"/>
    <n v="100"/>
    <s v="D-228"/>
    <x v="1"/>
    <s v="DISTRIBUCION"/>
    <s v="RED AEREA"/>
    <s v="N"/>
    <n v="19300"/>
    <n v="193"/>
    <n v="3.6220000000000002E-2"/>
    <n v="533754"/>
    <n v="3.6158979604836688E-2"/>
    <n v="0.14499999999999999"/>
    <s v="S"/>
    <s v="R"/>
    <n v="0"/>
    <s v="16 DE SEP. S"/>
    <s v="9DW0G"/>
    <s v="N"/>
    <n v="-1"/>
    <s v="N"/>
    <n v="-1"/>
    <s v="K0403215269"/>
    <s v="PAJARO PEGA CON LA MEDIA TENSION OCASIONANDO DISPARO DE UNA FASE, SE REPONE 1F/10A/R3 SECC, 16 SEPTI. SAN FERNANDO, SICCOS K0403215269, RIM-391 LIC-2268"/>
  </r>
  <r>
    <s v="DK"/>
    <s v="04"/>
    <s v="I"/>
    <s v="0457"/>
    <n v="2018"/>
    <x v="2"/>
    <x v="3"/>
    <s v="*"/>
    <x v="7"/>
    <x v="6"/>
    <s v="2018.03.14"/>
    <s v="2018.03.14"/>
    <d v="1899-12-30T12:23:00"/>
    <d v="1899-12-30T18:47:00"/>
    <n v="37"/>
    <n v="68"/>
    <x v="66"/>
    <n v="100"/>
    <s v="D-228"/>
    <x v="1"/>
    <s v="DISTRIBUCION"/>
    <s v="RED AEREA"/>
    <s v="N"/>
    <n v="26112"/>
    <n v="384"/>
    <n v="4.9003999999999999E-2"/>
    <n v="533754"/>
    <n v="4.892141323531065E-2"/>
    <n v="0.23699999999999999"/>
    <s v="S"/>
    <s v="R"/>
    <n v="0"/>
    <s v="NVA LIBERTAD"/>
    <s v="K853R"/>
    <s v="N"/>
    <n v="-1"/>
    <s v="N"/>
    <n v="-1"/>
    <s v="K0403217133"/>
    <s v="AVE PEGA CON LA MEDIA TENSION, OCASIONANDO LA OPERACION DE LA FASE &quot;B&quot; DEL RAMAL, SE REPONE 1F/10A/R3 Y 1F/5A/R3 FASE B SEGUNDA SECC. RIM-478 LIC-2373 LMX-4012 XM-66 QUEDA TODO NORMAL. _x000d__x000a_K0403217133"/>
  </r>
  <r>
    <s v="DK"/>
    <s v="04"/>
    <s v="I"/>
    <s v="0456"/>
    <n v="2018"/>
    <x v="2"/>
    <x v="2"/>
    <s v="G"/>
    <x v="6"/>
    <x v="16"/>
    <s v="2018.03.14"/>
    <s v="2018.03.14"/>
    <d v="1899-12-30T13:52:00"/>
    <d v="1899-12-30T14:34:00"/>
    <n v="52"/>
    <n v="109"/>
    <x v="67"/>
    <n v="0"/>
    <s v="D-228"/>
    <x v="8"/>
    <s v="DISTRIBUCION"/>
    <s v="RED AEREA"/>
    <s v="N"/>
    <n v="4578"/>
    <n v="42"/>
    <n v="8.5909999999999997E-3"/>
    <n v="533754"/>
    <n v="8.5769849031576348E-3"/>
    <n v="3.5999999999999997E-2"/>
    <s v="S"/>
    <s v="R"/>
    <n v="0"/>
    <s v="F0610-TERMIN"/>
    <s v="9B51C"/>
    <s v="N"/>
    <n v="1735"/>
    <s v="N"/>
    <n v="-1"/>
    <s v="K0403217217"/>
    <s v="7.-POR LAMINA DE ALUMINIO CONTACTO CON LA M TENSION SE REPONE UN FUSIBLE 1-40/3 EN LA FASE A LIC 2369 RIM 347 K0403217217, POR LOS VIENTOS FUERTES QUE PASARON EN LA ZONA. NO SE CUANTA CON LA EVIDENCIA NECESARIA"/>
  </r>
  <r>
    <s v="DK"/>
    <s v="04"/>
    <s v="I"/>
    <s v="0434"/>
    <n v="2018"/>
    <x v="2"/>
    <x v="2"/>
    <s v="G"/>
    <x v="5"/>
    <x v="4"/>
    <s v="2018.03.14"/>
    <s v="2018.03.14"/>
    <d v="1899-12-30T08:07:00"/>
    <d v="1899-12-30T09:52:00"/>
    <n v="60"/>
    <n v="86"/>
    <x v="68"/>
    <n v="0"/>
    <s v="D-228"/>
    <x v="1"/>
    <s v="DISTRIBUCION"/>
    <s v="RED AEREA"/>
    <s v="N"/>
    <n v="9030"/>
    <n v="105"/>
    <n v="1.6947E-2"/>
    <n v="533754"/>
    <n v="1.6917906001641204E-2"/>
    <n v="0.105"/>
    <s v="S"/>
    <s v="R"/>
    <n v="0"/>
    <s v="F0169-ARAMON"/>
    <s v="9B51C"/>
    <s v="N"/>
    <n v="-1"/>
    <s v="N"/>
    <n v="-1"/>
    <s v="K0403216967"/>
    <s v="UNA ARDILLA PROVOCA FALLA EN ESTE RAMAL SE REPONE 1F/15AMP/3F LIC 2348  RIM 345 SICOSS  K0403216967 QUEDA RESTABLECIDO."/>
  </r>
  <r>
    <s v="DK"/>
    <s v="04"/>
    <s v="I"/>
    <s v="0654"/>
    <n v="2018"/>
    <x v="2"/>
    <x v="0"/>
    <s v="*"/>
    <x v="0"/>
    <x v="2"/>
    <s v="2018.03.15"/>
    <s v="2018.03.15"/>
    <d v="1899-12-30T11:43:00"/>
    <d v="1899-12-30T12:31:00"/>
    <n v="46"/>
    <n v="104"/>
    <x v="69"/>
    <n v="100"/>
    <s v="D-228"/>
    <x v="8"/>
    <s v="DISTRIBUCION"/>
    <s v="RED AEREA"/>
    <s v="N"/>
    <n v="4992"/>
    <n v="48"/>
    <n v="9.3679999999999996E-3"/>
    <n v="533754"/>
    <n v="9.3526231185152714E-3"/>
    <n v="3.6999999999999998E-2"/>
    <s v="S"/>
    <s v="R"/>
    <n v="0"/>
    <s v="F2225- 2 SUR"/>
    <s v="G431N"/>
    <s v="N"/>
    <n v="1735"/>
    <s v="N"/>
    <n v="-1"/>
    <s v="-"/>
    <s v="7.- K0403217663 SE RESTABLECE FUS EN SECC FASE A, FUS DE 15 AMP ARBOL SOBRE LA M.T. Y ROMPE DISTANCIA CON M.T RIM.- 12:00, NO. LICENCIA: 2403 XM 84 FUERTES VIENTOS EN LA ZONA"/>
  </r>
  <r>
    <s v="DK"/>
    <s v="04"/>
    <s v="I"/>
    <s v="0489"/>
    <n v="2018"/>
    <x v="2"/>
    <x v="2"/>
    <s v="G"/>
    <x v="11"/>
    <x v="10"/>
    <s v="2018.03.16"/>
    <s v="2018.03.16"/>
    <d v="1899-12-30T08:43:00"/>
    <d v="1899-12-30T11:30:00"/>
    <n v="50"/>
    <n v="106"/>
    <x v="70"/>
    <n v="0"/>
    <s v="D-228"/>
    <x v="1"/>
    <s v="DISTRIBUCION"/>
    <s v="RED AEREA"/>
    <s v="N"/>
    <n v="17702"/>
    <n v="167"/>
    <n v="3.3221000000000001E-2"/>
    <n v="533754"/>
    <n v="3.3165091034446578E-2"/>
    <n v="0.13900000000000001"/>
    <s v="S"/>
    <s v="R"/>
    <n v="0"/>
    <s v="F0905"/>
    <s v="9B51C"/>
    <s v="N"/>
    <n v="-1"/>
    <s v="N"/>
    <n v="-1"/>
    <s v="K0403217868"/>
    <s v="POR PAJARO PROVOCA FALLA EN ESTA SECC S/N SE REPONE UN FUSIBLE DE 3 AMPS EN TRANSF. 50 KVA Y 1F/12A/R3 FASE &quot;A&quot;  LIC 2425  RIM 354 CTO. MAA 4050, SICCOS K0403217868, QUEDA TODO NORMAL."/>
  </r>
  <r>
    <s v="DK"/>
    <s v="04"/>
    <s v="I"/>
    <s v="0485"/>
    <n v="2018"/>
    <x v="2"/>
    <x v="2"/>
    <s v="G"/>
    <x v="6"/>
    <x v="5"/>
    <s v="2018.03.16"/>
    <s v="2018.03.16"/>
    <d v="1899-12-30T09:53:00"/>
    <d v="1899-12-30T12:22:00"/>
    <n v="320"/>
    <n v="133"/>
    <x v="71"/>
    <n v="0"/>
    <s v="D-292"/>
    <x v="1"/>
    <s v="DISTRIBUCION"/>
    <s v="RED AEREA"/>
    <s v="N"/>
    <n v="19817"/>
    <n v="149"/>
    <n v="3.7190000000000001E-2"/>
    <n v="533754"/>
    <n v="3.712759061290407E-2"/>
    <n v="0.79500000000000004"/>
    <s v="S"/>
    <s v="R"/>
    <m/>
    <s v="F0310"/>
    <s v="9B51C"/>
    <s v="N"/>
    <n v="-1"/>
    <s v="N"/>
    <n v="-1"/>
    <s v="K0403217898"/>
    <s v="POR PAJARO PROVOCA FALLA EN ESTE CTO TGD4090 LIC 2426 RIM 355 SE REPONE UN FUS DE 25 AMPS UN FUS DE 40 AMPS UN FUS DE 65 AMPS EN LAS FASE A SE DEJA OK ESTE ARAMAL 9DY7G"/>
  </r>
  <r>
    <s v="DK"/>
    <s v="04"/>
    <s v="I"/>
    <s v="0479"/>
    <n v="2018"/>
    <x v="2"/>
    <x v="3"/>
    <s v="*"/>
    <x v="17"/>
    <x v="4"/>
    <s v="2018.03.16"/>
    <s v="2018.03.16"/>
    <d v="1899-12-30T09:04:00"/>
    <d v="1899-12-30T14:56:00"/>
    <n v="2"/>
    <n v="10"/>
    <x v="72"/>
    <n v="100"/>
    <s v="D-252"/>
    <x v="0"/>
    <s v="DISTRIBUCION"/>
    <s v="RED AEREA"/>
    <s v="N"/>
    <n v="3520"/>
    <n v="352"/>
    <n v="6.6059999999999999E-3"/>
    <n v="533754"/>
    <n v="6.5947983527992297E-3"/>
    <n v="1.2E-2"/>
    <s v="S"/>
    <s v="R"/>
    <n v="0"/>
    <s v="RINCON DE LA"/>
    <s v="9M9C4"/>
    <s v="N"/>
    <n v="-1"/>
    <s v="N"/>
    <n v="-1"/>
    <s v="K0403217872"/>
    <s v="%K0403217872 SE LOCALIZA PUENTE ABIERTO EN RAMAL DE LA FINCA FASE B SE REALIZA BLOQUEO DEL R0212 DEBIDO AL DAÑO SOBRE ESTRIBOS Y PUENTE QUE DERIVAN DEL RAMAL PRINCIPAL, LIC 2432 RIM  483 CTO  OCZ-4040 14"/>
  </r>
  <r>
    <s v="DK"/>
    <s v="04"/>
    <s v="I"/>
    <s v="0490"/>
    <n v="2018"/>
    <x v="2"/>
    <x v="2"/>
    <s v="G"/>
    <x v="11"/>
    <x v="2"/>
    <s v="2018.03.17"/>
    <s v="2018.03.17"/>
    <d v="1899-12-30T13:45:00"/>
    <d v="1899-12-30T15:15:00"/>
    <n v="80"/>
    <n v="126"/>
    <x v="73"/>
    <n v="0"/>
    <s v="D-228"/>
    <x v="1"/>
    <s v="DISTRIBUCION"/>
    <s v="RED AEREA"/>
    <s v="N"/>
    <n v="11340"/>
    <n v="90"/>
    <n v="2.1281999999999999E-2"/>
    <n v="533754"/>
    <n v="2.1245742420665698E-2"/>
    <n v="0.12"/>
    <s v="S"/>
    <s v="R"/>
    <n v="0"/>
    <s v="F0431-PARQUE"/>
    <s v="K852R"/>
    <s v="N"/>
    <n v="-1"/>
    <s v="N"/>
    <n v="-1"/>
    <s v="K0403218195"/>
    <s v="SE RESTABLECE FALLA SE REPONE 1F/25A/R3 EN SECC.,  AFECTA VARIOS COLONIAS ENTRE ELLAS LAS TERRAZAS RIM 366 LIC 2469 CTO MAA-4020, CAUSA PAJARO PEGA CON LA M.T. QUEDA TODO OK, SICCOS K0403218195."/>
  </r>
  <r>
    <s v="DK"/>
    <s v="04"/>
    <s v="I"/>
    <s v="0503"/>
    <n v="2018"/>
    <x v="2"/>
    <x v="0"/>
    <s v="*"/>
    <x v="9"/>
    <x v="0"/>
    <s v="2018.03.17"/>
    <s v="2018.03.17"/>
    <d v="1899-12-30T08:54:00"/>
    <d v="1899-12-30T16:36:00"/>
    <n v="20"/>
    <n v="70"/>
    <x v="74"/>
    <n v="100"/>
    <s v="D-251"/>
    <x v="0"/>
    <s v="DISTRIBUCION"/>
    <s v="RED AEREA"/>
    <m/>
    <n v="32340"/>
    <n v="462"/>
    <n v="6.0692000000000003E-2"/>
    <n v="533754"/>
    <n v="6.058970986634292E-2"/>
    <n v="0.154"/>
    <s v="S"/>
    <s v="R"/>
    <n v="0"/>
    <s v="F2503-PORTIL"/>
    <s v="9FGCU"/>
    <s v="N"/>
    <n v="-1"/>
    <s v="N"/>
    <n v="-1"/>
    <s v="K0403218182"/>
    <s v="FALSO CONTACTO EN CONECTOR PERICO OCASIONA SE REVIENTE LA LINEA DE MEDIA TENSION EN LA FASE B, SE REPARA LINEA M.T. SE ATENDIO CON LA LIC. 2467 POR LA CUADRILLA XM85 FRENTE A RANCHO TAMPICO RANCHO BUENA VILLA. SICCOS No DK0403218163"/>
  </r>
  <r>
    <s v="DK"/>
    <s v="04"/>
    <s v="I"/>
    <s v="0492"/>
    <n v="2018"/>
    <x v="2"/>
    <x v="0"/>
    <s v="*"/>
    <x v="19"/>
    <x v="17"/>
    <s v="2018.03.18"/>
    <s v="2018.03.18"/>
    <d v="1899-12-30T12:16:00"/>
    <d v="1899-12-30T14:20:00"/>
    <n v="46"/>
    <n v="245"/>
    <x v="75"/>
    <n v="100"/>
    <s v="D-228"/>
    <x v="9"/>
    <s v="DISTRIBUCION"/>
    <s v="RED AEREA"/>
    <s v="N"/>
    <n v="30380"/>
    <n v="124"/>
    <n v="5.7014000000000002E-2"/>
    <n v="533754"/>
    <n v="5.6917606238079711E-2"/>
    <n v="9.5000000000000001E-2"/>
    <s v="S"/>
    <s v="R"/>
    <n v="0"/>
    <s v="F2319-GPE"/>
    <s v="9FGCU"/>
    <s v="N"/>
    <n v="1793"/>
    <s v="N"/>
    <n v="-1"/>
    <s v="K0403218283"/>
    <s v="6.-INCENDIO DE PASTIZALES OCASIONA OPERACION DE FACE C Y B DEL RAMAL GUADALUPE VICT.  SICCOS K0403218283. NO SE TIENE EL DATO PARA SABER QUIEN PROVOCO EL INCENDIO. YJUSTIFICAR LA INTERRUPCION"/>
  </r>
  <r>
    <s v="DK"/>
    <s v="04"/>
    <s v="I"/>
    <s v="0495"/>
    <n v="2018"/>
    <x v="2"/>
    <x v="2"/>
    <s v="G"/>
    <x v="1"/>
    <x v="2"/>
    <s v="2018.03.18"/>
    <s v="2018.03.18"/>
    <d v="1899-12-30T08:02:00"/>
    <d v="1899-12-30T13:40:00"/>
    <n v="150"/>
    <n v="96"/>
    <x v="76"/>
    <n v="0"/>
    <s v="D-228"/>
    <x v="1"/>
    <s v="DISTRIBUCION"/>
    <s v="RED AEREA"/>
    <s v="N"/>
    <n v="32448"/>
    <n v="338"/>
    <n v="6.0894999999999998E-2"/>
    <n v="533754"/>
    <n v="6.0792050270349264E-2"/>
    <n v="0.84499999999999997"/>
    <s v="S"/>
    <s v="R"/>
    <n v="0"/>
    <s v="F0767-HERRAD"/>
    <s v="K852R"/>
    <s v="N"/>
    <n v="-1"/>
    <s v="N"/>
    <n v="-1"/>
    <s v="K0403218261"/>
    <s v="SE RESTABLECE FALLA SE REPONE 1-15/3 EN SECCIONAMIENTO EN LA FASE A Y 1 FUS DE 1 AMP EN TD 30KVA FASE A CAUSA POR ARDILLA  TXS-4020 LIC 2495 RIM 375 XM-205."/>
  </r>
  <r>
    <s v="DK"/>
    <s v="04"/>
    <s v="I"/>
    <s v="0497"/>
    <n v="2018"/>
    <x v="2"/>
    <x v="2"/>
    <s v="G"/>
    <x v="12"/>
    <x v="8"/>
    <s v="2018.03.18"/>
    <s v="2018.03.19"/>
    <d v="1899-12-30T17:45:00"/>
    <d v="1899-12-30T01:00:00"/>
    <n v="30"/>
    <n v="80"/>
    <x v="77"/>
    <n v="0"/>
    <s v="D-257"/>
    <x v="8"/>
    <s v="DISTRIBUCION"/>
    <s v="RED AEREA"/>
    <s v="N"/>
    <n v="34800"/>
    <n v="435"/>
    <n v="6.5309000000000006E-2"/>
    <n v="533754"/>
    <n v="6.5198574624265107E-2"/>
    <n v="0.217"/>
    <s v="S"/>
    <s v="R"/>
    <n v="0"/>
    <s v="F0878"/>
    <s v="K742R"/>
    <s v="N"/>
    <n v="1735"/>
    <s v="N"/>
    <n v="-1"/>
    <s v="K0403218331"/>
    <s v="7.- POR VIENTOS FUERTES RAMA CAE SOBRE AISLAMIENTO TIPO ALFILER, OCASIONANDO DAÑO A LOS AMARRES Y AL AISLADOR, SE CAMBIAN AISLADORES CON AMARRES AS4. LICENCIA 2506, SICCOS K0403218331"/>
  </r>
  <r>
    <s v="DK"/>
    <s v="04"/>
    <s v="I"/>
    <s v="0499"/>
    <n v="2018"/>
    <x v="2"/>
    <x v="0"/>
    <s v="*"/>
    <x v="19"/>
    <x v="17"/>
    <s v="2018.03.19"/>
    <s v="2018.03.19"/>
    <d v="1899-12-30T11:34:00"/>
    <d v="1899-12-30T20:02:00"/>
    <n v="46"/>
    <n v="245"/>
    <x v="75"/>
    <n v="100"/>
    <s v="D-231"/>
    <x v="10"/>
    <s v="DISTRIBUCION"/>
    <s v="RED AEREA"/>
    <s v="N"/>
    <n v="124460"/>
    <n v="508"/>
    <n v="0.233573"/>
    <n v="533754"/>
    <n v="0.23317858039471367"/>
    <n v="0.39"/>
    <s v="S"/>
    <s v="R"/>
    <n v="0"/>
    <s v="F2319-GPE"/>
    <s v="9M9C7"/>
    <s v="N"/>
    <n v="1757"/>
    <s v="N"/>
    <n v="-1"/>
    <s v="K0403218400"/>
    <s v="5.-VEHICULO GOLPEO POSTE, OCASIONA DAÑOS LINEA, POR LO QUE SE REPARA RETENIDA ROTA, UTLIZAN 2F/40A/R3 Y 1F/25A/R3 EN SECC. CTO. IPD-4042 RIM-356 LIC-2520 5MTS RETENIDA 3/8, SICCOS DK0403218400. NO SE CUENTA CON LA EVIDENCIA NECESA PARA JUSTIFICARLO."/>
  </r>
  <r>
    <s v="DK"/>
    <s v="04"/>
    <s v="I"/>
    <s v="0486"/>
    <n v="2018"/>
    <x v="2"/>
    <x v="1"/>
    <s v="*"/>
    <x v="16"/>
    <x v="12"/>
    <s v="2018.03.19"/>
    <s v="2018.03.19"/>
    <d v="1899-12-30T17:25:00"/>
    <d v="1899-12-30T20:10:00"/>
    <n v="42"/>
    <n v="71"/>
    <x v="78"/>
    <n v="100"/>
    <s v="D-228"/>
    <x v="1"/>
    <s v="DISTRIBUCION"/>
    <s v="RED AEREA"/>
    <s v="N"/>
    <n v="11715"/>
    <n v="165"/>
    <n v="2.1985000000000001E-2"/>
    <n v="533754"/>
    <n v="2.1948313267909934E-2"/>
    <n v="0.11600000000000001"/>
    <s v="S"/>
    <s v="R"/>
    <n v="0"/>
    <s v="SECUNDARIA"/>
    <s v="9FLGU"/>
    <s v="N"/>
    <n v="-1"/>
    <s v="N"/>
    <n v="-1"/>
    <s v="K0403218558"/>
    <s v="K0403218558 , TECPATAN,  SE RESTABLECE FUS 1-10/3  AMP EN SECC FASE B  OPERA POR UN AVE ENTRE LINEA Y CRUCETA  CON LIC. 2521 CTO COP 4032  RIM DK04-TXF-0433  QUEDA TODO NORMAL.. XM 502"/>
  </r>
  <r>
    <s v="DK"/>
    <s v="04"/>
    <s v="I"/>
    <s v="0482"/>
    <n v="2018"/>
    <x v="2"/>
    <x v="3"/>
    <s v="*"/>
    <x v="14"/>
    <x v="2"/>
    <s v="2018.03.19"/>
    <s v="2018.03.19"/>
    <d v="1899-12-30T13:14:00"/>
    <d v="1899-12-30T16:41:00"/>
    <n v="41"/>
    <n v="66"/>
    <x v="79"/>
    <n v="100"/>
    <s v="D-228"/>
    <x v="1"/>
    <s v="DISTRIBUCION"/>
    <s v="RED AEREA"/>
    <s v="N"/>
    <n v="13662"/>
    <n v="207"/>
    <n v="2.5638999999999999E-2"/>
    <n v="533754"/>
    <n v="2.5596061106802011E-2"/>
    <n v="0.14099999999999999"/>
    <s v="S"/>
    <s v="R"/>
    <n v="0"/>
    <s v="URBANA EJI 2"/>
    <s v="9B57E"/>
    <s v="N"/>
    <n v="-1"/>
    <s v="N"/>
    <n v="-1"/>
    <s v="K0403218463"/>
    <s v="K0403218463 XM67 RESTABLECE 1-12/3 EN SECC FASE B LIC. 2517 CIRCUITO CIT 4020  RIM DK04-CIT0496  POR AVE EN LA M.T. OPERA FUS. NUMERO DE CATALOGO DE MAN. 3.5/// EJECUTA RIM.- 16:29 HRS // BLOQ. 79 CIT 4020.- 16:33 HRS/// 16:41 CIERRA CCF // HABILITA"/>
  </r>
  <r>
    <s v="DK"/>
    <s v="04"/>
    <s v="I"/>
    <s v="0496"/>
    <n v="2018"/>
    <x v="2"/>
    <x v="1"/>
    <s v="*"/>
    <x v="4"/>
    <x v="2"/>
    <s v="2018.03.20"/>
    <s v="2018.03.21"/>
    <d v="1899-12-30T14:09:00"/>
    <d v="1899-12-30T17:08:00"/>
    <n v="73"/>
    <n v="50"/>
    <x v="80"/>
    <n v="100"/>
    <s v="D-228"/>
    <x v="7"/>
    <s v="DISTRIBUCION"/>
    <s v="RED AEREA"/>
    <s v="N"/>
    <n v="80950"/>
    <n v="1619"/>
    <n v="0.151918"/>
    <n v="533754"/>
    <n v="0.15166162689178911"/>
    <n v="1.97"/>
    <s v="S"/>
    <s v="R"/>
    <n v="0"/>
    <s v="CAHUARE"/>
    <s v="9FLGD"/>
    <s v="N"/>
    <n v="-1"/>
    <s v="N"/>
    <n v="-1"/>
    <s v="-"/>
    <s v="7. POR FUERTES VIENTOS EN LA ZONA, RAMAS, PEGAN CON LA M.T., XM 55 PODA,  SE TRABAJA CON SICCOS K0403218843 , CAHUARE, SE RESTABLECE 1-15/3  RIM DK04-TXF-0449, LIC2581, SE APLICA EL 0.66 DE USUAROS"/>
  </r>
  <r>
    <s v="DK"/>
    <s v="04"/>
    <s v="I"/>
    <s v="0502"/>
    <n v="2018"/>
    <x v="2"/>
    <x v="1"/>
    <s v="*"/>
    <x v="4"/>
    <x v="0"/>
    <s v="2018.03.20"/>
    <s v="2018.03.20"/>
    <d v="1899-12-30T10:23:00"/>
    <d v="1899-12-30T14:51:00"/>
    <n v="186"/>
    <n v="96"/>
    <x v="81"/>
    <n v="100"/>
    <s v="D-228"/>
    <x v="0"/>
    <s v="DISTRIBUCION"/>
    <s v="RED AEREA"/>
    <s v="N"/>
    <n v="25728"/>
    <n v="268"/>
    <n v="4.8283E-2"/>
    <n v="533754"/>
    <n v="4.820198068773255E-2"/>
    <n v="0.83099999999999996"/>
    <s v="S"/>
    <s v="R"/>
    <n v="0"/>
    <s v="SAN JUDAS TA"/>
    <s v="9FLGD"/>
    <s v="N"/>
    <n v="-1"/>
    <s v="N"/>
    <n v="-1"/>
    <s v="-"/>
    <s v="K0403218648 , CAP LUIS VIDAL CHAPA DE CORZO, SE RESTABLECE 1-25/3 FASE C , POR FALSO CONTACTO, FUSIBLE VOLADO, RIM DK04-TXF-0435, LIC 2530 XM 55"/>
  </r>
  <r>
    <s v="DK"/>
    <s v="04"/>
    <s v="I"/>
    <s v="0498"/>
    <n v="2018"/>
    <x v="2"/>
    <x v="0"/>
    <s v="*"/>
    <x v="0"/>
    <x v="4"/>
    <s v="2018.03.20"/>
    <s v="2018.03.20"/>
    <d v="1899-12-30T07:12:00"/>
    <d v="1899-12-30T10:07:00"/>
    <n v="45"/>
    <n v="128"/>
    <x v="82"/>
    <n v="100"/>
    <s v="D-228"/>
    <x v="1"/>
    <s v="DISTRIBUCION"/>
    <s v="RED AEREA"/>
    <s v="N"/>
    <n v="22400"/>
    <n v="175"/>
    <n v="4.2037999999999999E-2"/>
    <n v="533754"/>
    <n v="4.1966898608722374E-2"/>
    <n v="0.13100000000000001"/>
    <s v="S"/>
    <s v="R"/>
    <n v="0"/>
    <s v="F2410-LIBERT"/>
    <s v="9M9C7"/>
    <s v="N"/>
    <n v="-1"/>
    <s v="N"/>
    <n v="-1"/>
    <s v="K0403218587"/>
    <s v="K0403218587 LICENCIA 2528 RIM 360 SE REPUSIERON 2-10/3 , CAUSA PAJARO PEGA EN LINEA DE MEDIA TENSION OCACIONANDO LA FALLA EN EL RAMAL."/>
  </r>
  <r>
    <s v="DK"/>
    <s v="04"/>
    <s v="I"/>
    <s v="0505"/>
    <n v="2018"/>
    <x v="2"/>
    <x v="3"/>
    <s v="*"/>
    <x v="17"/>
    <x v="10"/>
    <s v="2018.03.20"/>
    <s v="2018.03.20"/>
    <d v="1899-12-30T14:02:00"/>
    <d v="1899-12-30T18:18:00"/>
    <n v="54"/>
    <n v="41"/>
    <x v="83"/>
    <n v="100"/>
    <s v="D-228"/>
    <x v="8"/>
    <s v="DISTRIBUCION"/>
    <s v="RED AEREA"/>
    <s v="N"/>
    <n v="10496"/>
    <n v="256"/>
    <n v="1.9698E-2"/>
    <n v="533754"/>
    <n v="1.9664489633801338E-2"/>
    <n v="0.23"/>
    <s v="S"/>
    <s v="R"/>
    <n v="0"/>
    <s v="RANCH RAYMUN"/>
    <s v="9FLGG"/>
    <s v="N"/>
    <n v="1735"/>
    <s v="N"/>
    <n v="-1"/>
    <s v="K0403218839"/>
    <s v="7.-VIEMTOS FUERTES RAMAS SOBRE LA M.T. TERCEROS AYUDAN A RETIRAR RAMA Y SE REPONE 1-15/3 SECC RANCHERIA RAYMUNDO  RIM DK04-CIT-0497  LIC 2537 ATENDIO, SICCOS K0403218839, VIENTOS FUERTES EN LA ZONA"/>
  </r>
  <r>
    <s v="DK"/>
    <s v="04"/>
    <s v="I"/>
    <s v="0542"/>
    <n v="2018"/>
    <x v="2"/>
    <x v="1"/>
    <s v="*"/>
    <x v="12"/>
    <x v="18"/>
    <s v="2018.03.22"/>
    <s v="2018.03.22"/>
    <d v="1899-12-30T16:08:00"/>
    <d v="1899-12-30T19:50:00"/>
    <n v="27"/>
    <n v="41"/>
    <x v="19"/>
    <n v="100"/>
    <s v="D-228"/>
    <x v="0"/>
    <s v="DISTRIBUCION"/>
    <s v="RED AEREA"/>
    <s v="N"/>
    <n v="9102"/>
    <n v="222"/>
    <n v="1.7082E-2"/>
    <n v="533754"/>
    <n v="1.7052799604312097E-2"/>
    <n v="0.1"/>
    <s v="S"/>
    <s v="R"/>
    <n v="0"/>
    <s v="RAMAL PACU 1"/>
    <s v="K853R"/>
    <s v="N"/>
    <n v="-1"/>
    <s v="N"/>
    <n v="-1"/>
    <s v="K0403220607"/>
    <s v="% FALSO CONTACTO EN RECIBIDOR DE CCF OCASIONA OPERE LA SECCIONADORA, POR LO QUE SE REPONE 1F/8A/R3 EN SECC RIM-457 LIC-2626 CTO. RDB-4045, SICCOS K0403220607 ATENDIO  XM-57"/>
  </r>
  <r>
    <s v="DK"/>
    <s v="04"/>
    <s v="I"/>
    <s v="0655"/>
    <n v="2018"/>
    <x v="2"/>
    <x v="0"/>
    <s v="*"/>
    <x v="9"/>
    <x v="2"/>
    <s v="2018.03.22"/>
    <s v="2018.03.22"/>
    <d v="1899-12-30T20:37:00"/>
    <d v="1899-12-30T21:26:00"/>
    <n v="98"/>
    <n v="180"/>
    <x v="84"/>
    <n v="100"/>
    <s v="D-228"/>
    <x v="7"/>
    <s v="DISTRIBUCION"/>
    <s v="RED AEREA"/>
    <s v="N"/>
    <n v="8820"/>
    <n v="49"/>
    <n v="1.6552000000000001E-2"/>
    <n v="533754"/>
    <n v="1.6524466327184434E-2"/>
    <n v="0.08"/>
    <s v="S"/>
    <s v="R"/>
    <n v="0"/>
    <s v="F2380-SARAG"/>
    <s v="G431N"/>
    <s v="N"/>
    <n v="-1"/>
    <s v="N"/>
    <n v="-1"/>
    <s v="-"/>
    <s v="7.- K0403220814 REPORTA XM 85 SE REPONE 1-65/3 AMP EN SECC DEL CTO LGZ 4020 CON LA RIM 372 LIC 2630 CAUSAS FUERTES VIENTOS OCASIONAN CAIDA DE RAMAS EN LA LINEA DE MT. SE APLICA EL FACTOR 0.66"/>
  </r>
  <r>
    <s v="DK"/>
    <s v="04"/>
    <s v="I"/>
    <s v="0501"/>
    <n v="2018"/>
    <x v="2"/>
    <x v="2"/>
    <s v="G"/>
    <x v="5"/>
    <x v="2"/>
    <s v="2018.03.22"/>
    <s v="2018.03.22"/>
    <d v="1899-12-30T09:20:00"/>
    <d v="1899-12-30T14:35:00"/>
    <n v="65"/>
    <n v="60"/>
    <x v="85"/>
    <n v="0"/>
    <s v="D-228"/>
    <x v="1"/>
    <s v="DISTRIBUCION"/>
    <s v="RED AEREA"/>
    <s v="N"/>
    <n v="18900"/>
    <n v="315"/>
    <n v="3.5469000000000001E-2"/>
    <n v="533754"/>
    <n v="3.5409570701109498E-2"/>
    <n v="0.34100000000000003"/>
    <s v="S"/>
    <s v="R"/>
    <n v="0"/>
    <s v="F0024-CHAPUL"/>
    <s v="9B51C"/>
    <s v="N"/>
    <n v="-1"/>
    <s v="N"/>
    <n v="-1"/>
    <s v="K0403220257"/>
    <s v="ANIMAL OCASIONA FALLA DE UNA FASE DEL RAMAL, SE RETIRA Y SE REPONE 1F/65A/R3 EN FASE &quot;B&quot; SE TRABAJA CON RIM 402 LIC 2617  CTO TGU 4020. SICCOS K0403220257"/>
  </r>
  <r>
    <s v="DK"/>
    <s v="04"/>
    <s v="I"/>
    <s v="0550"/>
    <n v="2018"/>
    <x v="2"/>
    <x v="2"/>
    <s v="G"/>
    <x v="6"/>
    <x v="5"/>
    <s v="2018.03.23"/>
    <s v="2018.03.23"/>
    <d v="1899-12-30T13:37:00"/>
    <d v="1899-12-30T19:58:00"/>
    <n v="150"/>
    <n v="55"/>
    <x v="86"/>
    <n v="0"/>
    <s v="R-33"/>
    <x v="11"/>
    <s v="DISTRIBUCION"/>
    <s v="REDES SUBTERRANEAS"/>
    <s v="N"/>
    <n v="20955"/>
    <n v="381"/>
    <n v="3.9326E-2"/>
    <n v="533754"/>
    <n v="3.9259658944007916E-2"/>
    <n v="0.95299999999999996"/>
    <s v="S"/>
    <s v="R"/>
    <n v="0"/>
    <s v="F0312-LOMA03"/>
    <s v="K860R"/>
    <s v="N"/>
    <n v="-1"/>
    <s v="N"/>
    <n v="-1"/>
    <s v="K0403221386"/>
    <s v="% SE REPONE 1-25/3, 3-15/3, 1-12/3 CON LA RIM 408 LIC 2667 SICCOS K0403221386 SE HACE PRUEVA A FRACC TARAY SUBTERRANEO, PRESENTA FALLA NO RECIBE, SE GENERA K0403221477 AREA URBANA"/>
  </r>
  <r>
    <s v="DK"/>
    <s v="04"/>
    <s v="I"/>
    <s v="0656"/>
    <n v="2018"/>
    <x v="2"/>
    <x v="2"/>
    <s v="G"/>
    <x v="3"/>
    <x v="3"/>
    <s v="2018.03.23"/>
    <s v="2018.03.23"/>
    <d v="1899-12-30T13:37:00"/>
    <d v="1899-12-30T17:55:00"/>
    <n v="90"/>
    <n v="100"/>
    <x v="87"/>
    <n v="0"/>
    <s v="D-228"/>
    <x v="1"/>
    <s v="DISTRIBUCION"/>
    <s v="RED AEREA"/>
    <s v="N"/>
    <n v="25800"/>
    <n v="258"/>
    <n v="4.8418999999999997E-2"/>
    <n v="533754"/>
    <n v="4.8336874290403446E-2"/>
    <n v="0.38700000000000001"/>
    <s v="S"/>
    <s v="R"/>
    <n v="0"/>
    <s v="F0328-21SEPT"/>
    <s v="J593M"/>
    <s v="N"/>
    <n v="-1"/>
    <s v="N"/>
    <n v="-1"/>
    <s v="-"/>
    <s v="REPORTA XM 208 SE REPONE 2 FUSIBLES DE 3 AMP EN TD Y 1 -12/3 AMP EN SECCIONADORA DEL CTO TXN 4010 CON LA RIM 407 LA LIC 2665"/>
  </r>
  <r>
    <s v="DK"/>
    <s v="04"/>
    <s v="I"/>
    <s v="0559"/>
    <n v="2018"/>
    <x v="2"/>
    <x v="2"/>
    <s v="G"/>
    <x v="3"/>
    <x v="2"/>
    <s v="2018.03.24"/>
    <s v="2018.03.24"/>
    <d v="1899-12-30T07:58:00"/>
    <d v="1899-12-30T08:30:00"/>
    <n v="145"/>
    <n v="165"/>
    <x v="31"/>
    <n v="0"/>
    <s v="D-319"/>
    <x v="0"/>
    <s v="DISTRIBUCION"/>
    <s v="RED AEREA"/>
    <s v="N"/>
    <n v="5280"/>
    <n v="32"/>
    <n v="9.9089999999999994E-3"/>
    <n v="533754"/>
    <n v="9.8921975291988446E-3"/>
    <n v="7.6999999999999999E-2"/>
    <s v="S"/>
    <s v="R"/>
    <n v="0"/>
    <s v="F0642-C.C.1"/>
    <s v="K860R"/>
    <s v="N"/>
    <n v="-1"/>
    <s v="N"/>
    <n v="-1"/>
    <s v="K0403221525"/>
    <s v="A CAUSA DE DAÑO INTERNO APARTARRAYO EXPLOTADO / CAT DE MAN.- 708-1 3.5 // 10:27 CIERRA CCF // REPORTA XM 200 RESTABLECER FUS EN SECC FASE A DE 65 AMP.EN CTO  TXN 4020 LICENCIA 2682 RIM 411"/>
  </r>
  <r>
    <s v="DK"/>
    <s v="04"/>
    <s v="I"/>
    <s v="0564"/>
    <n v="2018"/>
    <x v="2"/>
    <x v="2"/>
    <s v="G"/>
    <x v="12"/>
    <x v="1"/>
    <s v="2018.03.25"/>
    <s v="2018.03.25"/>
    <d v="1899-12-30T12:11:00"/>
    <d v="1899-12-30T13:45:00"/>
    <n v="15"/>
    <n v="53"/>
    <x v="88"/>
    <n v="0"/>
    <s v="D-228"/>
    <x v="1"/>
    <s v="DISTRIBUCION"/>
    <s v="RED AEREA"/>
    <s v="N"/>
    <n v="4982"/>
    <n v="94"/>
    <n v="9.3500000000000007E-3"/>
    <n v="533754"/>
    <n v="9.3338878959220908E-3"/>
    <n v="2.4E-2"/>
    <s v="S"/>
    <s v="R"/>
    <n v="0"/>
    <s v="F0854"/>
    <s v="K860R"/>
    <s v="N"/>
    <n v="-1"/>
    <s v="N"/>
    <n v="-1"/>
    <s v="K0403221937"/>
    <s v="% AVE ROMPE DISTANCIA CON PUNTO DE FASE A TIERRA OCASIONANDO OPERACION DE LA FASE &quot;A&quot;, REPORTA XM 209 REPONE 1F/15A/R3, SECC. CTO RDB 4015  CON LA RIM 420 LA LICENCIA 2709, SICCOS K0403221937."/>
  </r>
  <r>
    <s v="DK"/>
    <s v="04"/>
    <s v="I"/>
    <s v="0634"/>
    <n v="2018"/>
    <x v="2"/>
    <x v="1"/>
    <s v="*"/>
    <x v="6"/>
    <x v="5"/>
    <s v="2018.03.27"/>
    <s v="2018.03.27"/>
    <d v="1899-12-30T20:47:00"/>
    <d v="1899-12-30T21:02:00"/>
    <n v="45"/>
    <n v="156"/>
    <x v="89"/>
    <n v="0"/>
    <s v="D-228"/>
    <x v="12"/>
    <s v="DISTRIBUCION"/>
    <s v="RED AEREA"/>
    <s v="N"/>
    <n v="2340"/>
    <n v="15"/>
    <n v="4.3909999999999999E-3"/>
    <n v="533754"/>
    <n v="4.384042086804033E-3"/>
    <n v="1.0999999999999999E-2"/>
    <s v="S"/>
    <s v="R"/>
    <n v="0"/>
    <s v="2A PTE 4SUR"/>
    <s v="9FLGD"/>
    <s v="N"/>
    <n v="-1"/>
    <s v="N"/>
    <n v="-1"/>
    <s v="-"/>
    <s v="ORDEN.- K0403223100; CAUSA: CAMION ROMPIO CABLE TELEFONICO Y PROVOCA C.C."/>
  </r>
  <r>
    <s v="DK"/>
    <s v="04"/>
    <s v="I"/>
    <s v="0612"/>
    <n v="2018"/>
    <x v="2"/>
    <x v="2"/>
    <s v="G"/>
    <x v="11"/>
    <x v="4"/>
    <s v="2018.03.27"/>
    <s v="2018.03.27"/>
    <d v="1899-12-30T14:08:00"/>
    <d v="1899-12-30T18:16:00"/>
    <n v="90"/>
    <n v="145"/>
    <x v="90"/>
    <n v="0"/>
    <s v="D-213"/>
    <x v="10"/>
    <s v="DISTRIBUCION"/>
    <s v="RED AEREA"/>
    <s v="N"/>
    <n v="35960"/>
    <n v="248"/>
    <n v="6.7486000000000004E-2"/>
    <n v="533754"/>
    <n v="6.7371860445073942E-2"/>
    <n v="0.372"/>
    <s v="S"/>
    <s v="R"/>
    <n v="0"/>
    <s v="F0485-4Y12SU"/>
    <s v="K860R"/>
    <s v="N"/>
    <n v="1798"/>
    <s v="N"/>
    <n v="-1"/>
    <s v="K0403223183"/>
    <s v="5.-CHOQUE DE VEHICULO DAÑA POSTE CFE Y CABLEADO DE MEGACABLE AFECTANDO M.T. DE CFE, REPORTA XM 206 REPONEN 3F/25A/MP SECC Y 3F/3A/TRASF 75 KVA 3F DEL CTO MAA 4040, RIM 433, LIC 2777, SICCOS K0403223183 QUEDA TODO NORMALIZADO."/>
  </r>
  <r>
    <s v="DK"/>
    <s v="04"/>
    <s v="I"/>
    <s v="0625"/>
    <n v="2018"/>
    <x v="2"/>
    <x v="0"/>
    <s v="*"/>
    <x v="9"/>
    <x v="3"/>
    <s v="2018.03.28"/>
    <s v="2018.03.28"/>
    <d v="1899-12-30T10:33:00"/>
    <d v="1899-12-30T13:43:00"/>
    <n v="30"/>
    <n v="2"/>
    <x v="91"/>
    <n v="100"/>
    <s v="D-228"/>
    <x v="3"/>
    <s v="DISTRIBUCION"/>
    <s v="RED AEREA"/>
    <s v="N"/>
    <n v="380"/>
    <n v="190"/>
    <n v="7.1299999999999998E-4"/>
    <n v="533754"/>
    <n v="7.1193845854082593E-4"/>
    <n v="9.5000000000000001E-2"/>
    <s v="S"/>
    <s v="R"/>
    <n v="0"/>
    <s v="F2439"/>
    <s v="9FB73"/>
    <s v="N"/>
    <n v="-1"/>
    <s v="N"/>
    <n v="-1"/>
    <s v="-"/>
    <s v="HINCADO DE POSTES DE M.T. EN MAL ESTADO// TRABAJOS EN COORDINACION CON LAS CUADRILLAS XM 601, XM 65, XM62, ESTADO CRITICO DE ESTRUCTURA, ES RAMAL DE GRANJAS AVIMARCA"/>
  </r>
  <r>
    <s v="DK"/>
    <s v="04"/>
    <s v="I"/>
    <s v="0640"/>
    <n v="2018"/>
    <x v="2"/>
    <x v="2"/>
    <s v="*"/>
    <x v="1"/>
    <x v="0"/>
    <s v="2018.03.31"/>
    <s v="2018.03.31"/>
    <d v="1899-12-30T11:34:00"/>
    <d v="1899-12-30T20:08:00"/>
    <n v="140"/>
    <n v="2"/>
    <x v="92"/>
    <n v="100"/>
    <s v="D-228"/>
    <x v="1"/>
    <s v="DISTRIBUCION"/>
    <s v="RED AEREA"/>
    <s v="N"/>
    <n v="1028"/>
    <n v="514"/>
    <n v="1.9289999999999999E-3"/>
    <n v="533754"/>
    <n v="1.925980882578866E-3"/>
    <n v="1.1990000000000001"/>
    <s v="S"/>
    <s v="R"/>
    <n v="0"/>
    <s v="BOMBEO SABIN"/>
    <s v="9MNJ3"/>
    <s v="N"/>
    <n v="-1"/>
    <s v="N"/>
    <n v="-1"/>
    <s v="-"/>
    <s v="PAJARO PEGA ENTRE FASES EN M.T. Y LA CRUCETA SE REPONEN 2F/3A RAMAL DE TD Y 2F/1A TRANF 15 KVA CONV. RIM 500 LIC. 2881 XM-56 QUEDA TODO NORMAL"/>
  </r>
  <r>
    <s v="DK"/>
    <s v="04"/>
    <s v="I"/>
    <s v="0653"/>
    <n v="2018"/>
    <x v="3"/>
    <x v="2"/>
    <s v="G"/>
    <x v="5"/>
    <x v="0"/>
    <s v="2018.04.02"/>
    <s v="2018.04.02"/>
    <d v="1899-12-30T03:41:00"/>
    <d v="1899-12-30T10:40:00"/>
    <n v="80"/>
    <n v="112"/>
    <x v="93"/>
    <n v="0"/>
    <s v="D-228"/>
    <x v="1"/>
    <s v="DISTRIBUCION"/>
    <s v="RED AEREA"/>
    <s v="N"/>
    <n v="46928"/>
    <n v="419"/>
    <n v="8.7998999999999994E-2"/>
    <n v="533754"/>
    <n v="8.7920652585273359E-2"/>
    <n v="0.55900000000000005"/>
    <s v="S"/>
    <s v="R"/>
    <n v="0"/>
    <s v="F0245-L.LOMA"/>
    <s v="9B51C"/>
    <s v="N"/>
    <n v="-1"/>
    <s v="N"/>
    <n v="-1"/>
    <s v="K0403224759"/>
    <s v="%K0403224759 FRACC LADERA DE LA LOMA  PAJAROS PROVOCAN FALLA EN TRANSF DE Y SECC S N SE REPONE 1F-2/3 EN TRANSF DE 25 KVAS DOS FASE EN M T Y 1-12/3 EN SECC S N CTO TGU4030 RIM 364 LIC:2901; TGU 4030 HR 10:09 //CIERRAN CCF 10:34//SE H-79 TGU 4030 HR 1"/>
  </r>
  <r>
    <s v="DK"/>
    <s v="04"/>
    <s v="I"/>
    <s v="0669"/>
    <n v="2018"/>
    <x v="3"/>
    <x v="2"/>
    <s v="G"/>
    <x v="1"/>
    <x v="0"/>
    <s v="2018.04.03"/>
    <s v="2018.04.03"/>
    <d v="1899-12-30T08:17:00"/>
    <d v="1899-12-30T10:31:00"/>
    <n v="60"/>
    <n v="83"/>
    <x v="94"/>
    <n v="0"/>
    <s v="D-228"/>
    <x v="1"/>
    <s v="DISTRIBUCION"/>
    <s v="RED AEREA"/>
    <s v="N"/>
    <n v="11122"/>
    <n v="134"/>
    <n v="2.0856E-2"/>
    <n v="533754"/>
    <n v="2.0837314568134382E-2"/>
    <n v="0.13400000000000001"/>
    <s v="S"/>
    <s v="R"/>
    <n v="0"/>
    <s v="F0198-PSUR"/>
    <s v="9B51C"/>
    <s v="N"/>
    <n v="-1"/>
    <s v="N"/>
    <n v="-1"/>
    <s v="K0403225246"/>
    <s v="%.- K0403225246, ARDILLA PROVOCA FALLA EN SECC S/N CUADRILLA RETIRA ARDILLA, REVISA Y PROCEDE A REPONER F-B 1-5/3, CON LIC 2955 RIM 471  DEL CTO TXS 4030, QUEDA CON POTENCIAL EL SECTOR. PLAN DE AYALA SUR, CJON NAYARIT."/>
  </r>
  <r>
    <s v="DK"/>
    <s v="04"/>
    <s v="I"/>
    <s v="0678"/>
    <n v="2018"/>
    <x v="3"/>
    <x v="2"/>
    <s v="G"/>
    <x v="5"/>
    <x v="7"/>
    <s v="2018.04.04"/>
    <s v="2018.04.04"/>
    <d v="1899-12-30T07:11:00"/>
    <d v="1899-12-30T11:43:00"/>
    <n v="187"/>
    <n v="83"/>
    <x v="95"/>
    <n v="0"/>
    <s v="D-228"/>
    <x v="1"/>
    <s v="DISTRIBUCION"/>
    <s v="RED AEREA"/>
    <s v="N"/>
    <n v="22576"/>
    <n v="272"/>
    <n v="4.2333999999999997E-2"/>
    <n v="533754"/>
    <n v="4.2296638526362333E-2"/>
    <n v="0.84799999999999998"/>
    <s v="S"/>
    <s v="R"/>
    <n v="0"/>
    <s v="F0380-11NORT"/>
    <s v="9B51C"/>
    <s v="N"/>
    <n v="-1"/>
    <s v="N"/>
    <n v="-1"/>
    <s v="K0403226014"/>
    <s v="%- K0403226014, UNA ARDILLA PROVOCA FALLA EN ESTA SERVICIO SE REPONE 1F/2A Y 1F/8A/R3, SECC S/N CTO TGU4060 RIM 478, LIC 3005, SE DEJA CON POTENCIAL EL  SERVICIO, COL. MIRADOR 2 SEC U. POR LA IGLESIA DE SAN JOSE."/>
  </r>
  <r>
    <s v="DK"/>
    <s v="04"/>
    <s v="I"/>
    <s v="0690"/>
    <n v="2018"/>
    <x v="3"/>
    <x v="0"/>
    <s v="*"/>
    <x v="0"/>
    <x v="3"/>
    <s v="2018.04.04"/>
    <s v="2018.04.04"/>
    <d v="1899-12-30T12:28:00"/>
    <d v="1899-12-30T17:30:00"/>
    <n v="16"/>
    <n v="60"/>
    <x v="96"/>
    <n v="100"/>
    <s v="D-228"/>
    <x v="1"/>
    <s v="DISTRIBUCION"/>
    <s v="RED AEREA"/>
    <s v="N"/>
    <n v="18120"/>
    <n v="302"/>
    <n v="3.3979000000000002E-2"/>
    <n v="533754"/>
    <n v="3.3948223338841489E-2"/>
    <n v="8.1000000000000003E-2"/>
    <s v="S"/>
    <s v="R"/>
    <n v="0"/>
    <s v="F2216-6 PTE"/>
    <s v="9L0AR"/>
    <s v="N"/>
    <n v="-1"/>
    <s v="N"/>
    <n v="-1"/>
    <s v="K0403226935"/>
    <s v="%.- K0403226935,  ANIMAL TIPO AVE CHOCA CON LA LINEA, SE REPONE 1-10/3 AMP FASE A DE SECC PROVOCA CC; ATIENDE XM-85  LIC3027 RIM 424 CTO-VFD04010; UBICACION: 4A PTE NTE 79; VILLAFLORES."/>
  </r>
  <r>
    <s v="DK"/>
    <s v="04"/>
    <s v="I"/>
    <s v="0748"/>
    <n v="2018"/>
    <x v="3"/>
    <x v="1"/>
    <s v="*"/>
    <x v="4"/>
    <x v="2"/>
    <s v="2018.04.05"/>
    <s v="2018.04.05"/>
    <d v="1899-12-30T11:49:00"/>
    <d v="1899-12-30T19:46:00"/>
    <n v="80"/>
    <n v="36"/>
    <x v="97"/>
    <n v="100"/>
    <s v="D-228"/>
    <x v="1"/>
    <s v="DISTRIBUCION"/>
    <s v="RED AEREA"/>
    <s v="N"/>
    <n v="17172"/>
    <n v="477"/>
    <n v="3.2201E-2"/>
    <n v="533754"/>
    <n v="3.2172124237008062E-2"/>
    <n v="0.63600000000000001"/>
    <s v="S"/>
    <s v="R"/>
    <n v="0"/>
    <s v="NANDAMBUA"/>
    <s v="9L0D8"/>
    <s v="N"/>
    <n v="-1"/>
    <s v="N"/>
    <n v="-1"/>
    <s v="-"/>
    <s v="%.- K0403227555; AVE ROMPE DISTANCIA CON LA M.T.// 1-10/3 EN SECC. F-B; EJECUTA RIM.- 19:30 HRS /// LIC. 3079, 19:46 CIERRA CCF, H-79 R0107.- 19:52 H, AV. RIVERA NANDATIJU, COL. RIBERA CAHUARE, CHIAPA DE CORZO. POR EL TANQ DE AGUA POTIBILIZADORA"/>
  </r>
  <r>
    <s v="DK"/>
    <s v="04"/>
    <s v="I"/>
    <s v="0713"/>
    <n v="2018"/>
    <x v="3"/>
    <x v="1"/>
    <s v="*"/>
    <x v="4"/>
    <x v="2"/>
    <s v="2018.04.06"/>
    <s v="2018.04.06"/>
    <d v="1899-12-30T12:57:00"/>
    <d v="1899-12-30T16:50:00"/>
    <n v="44"/>
    <n v="89"/>
    <x v="98"/>
    <n v="100"/>
    <s v="D-228"/>
    <x v="1"/>
    <s v="DISTRIBUCION"/>
    <s v="RED AEREA"/>
    <s v="N"/>
    <n v="20737"/>
    <n v="233"/>
    <n v="3.8885999999999997E-2"/>
    <n v="533754"/>
    <n v="3.8851231091476597E-2"/>
    <n v="0.17100000000000001"/>
    <s v="S"/>
    <s v="R"/>
    <n v="0"/>
    <s v="STA CRUZ NIP"/>
    <s v="9L0D8"/>
    <s v="N"/>
    <n v="-1"/>
    <s v="N"/>
    <n v="-1"/>
    <s v="K0403228142"/>
    <s v="%.- PAJARO PEGA EN M.T. OCASIONANDO LA OPERACION DE 2-12/3 AMP, XM-57 RETIRA AVE,  REPONE 2F/12A/R3 SECC RIM-527 LIC-3111 GIA-4020, SICCOS K0403228142, QUEDA TODO CON POTENCIAL. CJON COVADONGA, CHIAPA DE CORZO, POR ATRAS DE OFICINAS DE CFE EN CDC."/>
  </r>
  <r>
    <s v="DK"/>
    <s v="04"/>
    <s v="I"/>
    <s v="1081"/>
    <n v="2018"/>
    <x v="3"/>
    <x v="0"/>
    <s v="*"/>
    <x v="9"/>
    <x v="3"/>
    <s v="2018.04.06"/>
    <s v="2018.04.06"/>
    <d v="1899-12-30T18:50:00"/>
    <d v="1899-12-30T23:09:00"/>
    <n v="3"/>
    <n v="12"/>
    <x v="47"/>
    <n v="100"/>
    <s v="D-271"/>
    <x v="13"/>
    <s v="DISTRIBUCION"/>
    <s v="RED AEREA"/>
    <s v="N"/>
    <n v="3108"/>
    <n v="259"/>
    <n v="5.8279999999999998E-3"/>
    <n v="533754"/>
    <n v="5.8229071819602286E-3"/>
    <n v="1.2999999999999999E-2"/>
    <s v="S"/>
    <s v="R"/>
    <n v="0"/>
    <s v="SINALOENSE"/>
    <s v="9MNTA"/>
    <s v="N"/>
    <n v="-1"/>
    <s v="N"/>
    <n v="-1"/>
    <s v="-"/>
    <s v="POR EFECTO DE DESCARGAS ATMOSFERICAS SE REALIZA EL CAMBIO DE DOS AISLADORES 13A DAÑADOS Y SE RESTABLECE 3-10/3, SE LABOROR CON LA LIC 3128 POR LA CUADRILLA XM86"/>
  </r>
  <r>
    <s v="DK"/>
    <s v="04"/>
    <s v="I"/>
    <s v="0705"/>
    <n v="2018"/>
    <x v="3"/>
    <x v="2"/>
    <s v="G"/>
    <x v="6"/>
    <x v="7"/>
    <s v="2018.04.06"/>
    <s v="2018.04.06"/>
    <d v="1899-12-30T10:12:00"/>
    <d v="1899-12-30T12:10:00"/>
    <n v="106"/>
    <n v="145"/>
    <x v="99"/>
    <n v="0"/>
    <s v="D-228"/>
    <x v="1"/>
    <s v="DISTRIBUCION"/>
    <s v="RED AEREA"/>
    <s v="N"/>
    <n v="17110"/>
    <n v="118"/>
    <n v="3.2085000000000002E-2"/>
    <n v="533754"/>
    <n v="3.2055965856930345E-2"/>
    <n v="0.20799999999999999"/>
    <s v="S"/>
    <s v="R"/>
    <n v="0"/>
    <s v="F0535-CTHIE1"/>
    <s v="9DY7G"/>
    <s v="N"/>
    <n v="-1"/>
    <s v="N"/>
    <n v="-1"/>
    <s v="K0403228040"/>
    <s v="%.-PAJARO CARPINTERO CHOCA EN LA M.T. OPERANDO UNA FASE DEL RAMAL, XM-201 REPONE 1F/65A/R3 FASE &quot;A&quot; LIC 3094, RIM-490, CTO. TGD-4060, SICCOS K0403228040, QUEDA TODO NORMALIZADO, CASTILLO TIELEMANS,"/>
  </r>
  <r>
    <s v="DK"/>
    <s v="04"/>
    <s v="I"/>
    <s v="0775"/>
    <n v="2018"/>
    <x v="3"/>
    <x v="1"/>
    <s v="*"/>
    <x v="12"/>
    <x v="18"/>
    <s v="2018.04.07"/>
    <s v="2018.04.07"/>
    <d v="1899-12-30T16:45:00"/>
    <d v="1899-12-30T19:49:00"/>
    <n v="48"/>
    <n v="67"/>
    <x v="100"/>
    <n v="100"/>
    <s v="D-228"/>
    <x v="1"/>
    <s v="DISTRIBUCION"/>
    <s v="RED AEREA"/>
    <s v="N"/>
    <n v="12328"/>
    <n v="184"/>
    <n v="2.3116999999999999E-2"/>
    <n v="533754"/>
    <n v="2.3096782412871848E-2"/>
    <n v="0.14699999999999999"/>
    <s v="S"/>
    <s v="R"/>
    <n v="0"/>
    <s v="6A OTE 2NTE"/>
    <s v="9L0D8"/>
    <s v="N"/>
    <n v="-1"/>
    <s v="N"/>
    <n v="-1"/>
    <s v="-"/>
    <s v="%.- K0403228434; PAJARAO PEGA CON M.T// RIM 18:55 // LIC. 3161; / SE BLOQ 79 R0104 19:05 /*/ 1-15/3 AMP FASE &quot;C&quot; SE CIERRA CCF 19:49// SE H 79 19:54; 1A AV NTE 648 Y 5 Y 6A OT; SUCHIAPA"/>
  </r>
  <r>
    <s v="DK"/>
    <s v="04"/>
    <s v="I"/>
    <s v="0737"/>
    <n v="2018"/>
    <x v="3"/>
    <x v="1"/>
    <s v="*"/>
    <x v="4"/>
    <x v="3"/>
    <s v="2018.04.08"/>
    <s v="2018.04.08"/>
    <d v="1899-12-30T18:42:00"/>
    <d v="1899-12-30T21:00:00"/>
    <n v="10"/>
    <n v="13"/>
    <x v="101"/>
    <n v="100"/>
    <s v="D-228"/>
    <x v="1"/>
    <s v="DISTRIBUCION"/>
    <s v="RED AEREA"/>
    <s v="N"/>
    <n v="1794"/>
    <n v="138"/>
    <n v="3.3639999999999998E-3"/>
    <n v="533754"/>
    <n v="3.3610989332164254E-3"/>
    <n v="2.3E-2"/>
    <s v="S"/>
    <s v="R"/>
    <n v="0"/>
    <s v="PAVAS"/>
    <s v="9L0D8"/>
    <s v="N"/>
    <n v="-1"/>
    <s v="N"/>
    <n v="-1"/>
    <s v="-"/>
    <s v="%.- K0403228502, PAJARO ROMPE DISTANCIA // SE RESTABLECE 1-12/3 AMP. FASE B, RIM 20:40 HRS// BLOQ 79 R0119// NUM DE CAT DE MANIBRAS  708-1-3.5 // SE CIERRA CCF 21:00 // SE A 79 21:06, 20 DE NOVIEMBRE, ACALA"/>
  </r>
  <r>
    <s v="DK"/>
    <s v="04"/>
    <s v="I"/>
    <s v="0821"/>
    <n v="2018"/>
    <x v="3"/>
    <x v="1"/>
    <s v="*"/>
    <x v="4"/>
    <x v="3"/>
    <s v="2018.04.08"/>
    <s v="2018.04.08"/>
    <d v="1899-12-30T20:08:00"/>
    <d v="1899-12-30T22:00:00"/>
    <n v="40"/>
    <n v="53"/>
    <x v="102"/>
    <n v="100"/>
    <s v="D-228"/>
    <x v="1"/>
    <s v="DISTRIBUCION"/>
    <s v="RED AEREA"/>
    <s v="N"/>
    <n v="5936"/>
    <n v="112"/>
    <n v="1.1131E-2"/>
    <n v="533754"/>
    <n v="1.1121228131311427E-2"/>
    <n v="7.4999999999999997E-2"/>
    <s v="S"/>
    <s v="R"/>
    <n v="0"/>
    <s v="PLANTA BOMBE"/>
    <s v="9L0D8"/>
    <s v="N"/>
    <n v="-1"/>
    <s v="N"/>
    <n v="-1"/>
    <s v="K0403228506"/>
    <s v="%.- K0403228506; PAJARO ROMPE DISTANCIA // RIM 21:38// SE BLOQ 79 GIA N4010 231:41// NUM DE CAT DE MANIOBRAS 708-1-3.5 Y3.12 // SE CIERRA CCF 22:00 (2-12/3 AMP)/ SE H 79 22:07; RIBERA EL AMATAL; CHIAPA DE CORZO. **RIBERA CUPASMI**"/>
  </r>
  <r>
    <s v="DK"/>
    <s v="04"/>
    <s v="I"/>
    <s v="0917"/>
    <n v="2018"/>
    <x v="3"/>
    <x v="0"/>
    <s v="*"/>
    <x v="0"/>
    <x v="2"/>
    <s v="2018.04.09"/>
    <s v="2018.04.09"/>
    <d v="1899-12-30T12:36:00"/>
    <d v="1899-12-30T16:59:00"/>
    <n v="46"/>
    <n v="103"/>
    <x v="69"/>
    <n v="100"/>
    <s v="D-228"/>
    <x v="1"/>
    <s v="DISTRIBUCION"/>
    <s v="RED AEREA"/>
    <s v="N"/>
    <n v="27089"/>
    <n v="263"/>
    <n v="5.0797000000000002E-2"/>
    <n v="533754"/>
    <n v="5.0751844482664302E-2"/>
    <n v="0.20200000000000001"/>
    <s v="S"/>
    <s v="R"/>
    <n v="0"/>
    <s v="F2225- 2 SUR"/>
    <s v="9FGCU"/>
    <s v="N"/>
    <n v="-1"/>
    <s v="N"/>
    <n v="-1"/>
    <s v="-"/>
    <s v="%K0403228936; LIC 3231 SE REALIZA REPOSICION DE 1-15/3 EN LA FASE C DE LA SECCIONADORA;PREDIO TOTONILCO A CAUSA DE NIDO QUE ROMPE DISTANCIA CON LA  CRUCETA PROVOCANDO CC, ATIENDE XM56  CTO VFD4020 SE CIERRA CCF 16:59 HRS"/>
  </r>
  <r>
    <s v="DK"/>
    <s v="04"/>
    <s v="I"/>
    <s v="1078"/>
    <n v="2018"/>
    <x v="3"/>
    <x v="1"/>
    <s v="*"/>
    <x v="8"/>
    <x v="3"/>
    <s v="2018.04.09"/>
    <s v="2018.04.09"/>
    <d v="1899-12-30T09:08:00"/>
    <d v="1899-12-30T14:21:00"/>
    <n v="23"/>
    <n v="34"/>
    <x v="103"/>
    <n v="100"/>
    <s v="D-228"/>
    <x v="7"/>
    <s v="DISTRIBUCION"/>
    <s v="RED AEREA"/>
    <s v="N"/>
    <n v="10642"/>
    <n v="313"/>
    <n v="1.9956000000000002E-2"/>
    <n v="533754"/>
    <n v="1.9938023883661761E-2"/>
    <n v="0.12"/>
    <s v="S"/>
    <s v="R"/>
    <n v="0"/>
    <s v="JUY JUY"/>
    <s v="9B55X"/>
    <s v="N"/>
    <n v="-1"/>
    <s v="N"/>
    <n v="-1"/>
    <s v="-"/>
    <s v="POR EFECTO DE RAMA QUE HACE CONTACTO CON LA FASE CENTRAL SE RESTABLECE FUSIBLE 1-12/3 CON LA LIC 3226 POR LA CUADRILLA XM55"/>
  </r>
  <r>
    <s v="DK"/>
    <s v="04"/>
    <s v="I"/>
    <s v="0747"/>
    <n v="2018"/>
    <x v="3"/>
    <x v="2"/>
    <s v="G"/>
    <x v="3"/>
    <x v="3"/>
    <s v="2018.04.09"/>
    <s v="2018.04.09"/>
    <d v="1899-12-30T10:11:00"/>
    <d v="1899-12-30T11:43:00"/>
    <n v="33"/>
    <n v="73"/>
    <x v="37"/>
    <n v="0"/>
    <s v="D-228"/>
    <x v="1"/>
    <s v="DISTRIBUCION"/>
    <s v="RED AEREA"/>
    <s v="N"/>
    <n v="6716"/>
    <n v="92"/>
    <n v="1.2593999999999999E-2"/>
    <n v="533754"/>
    <n v="1.258257549357944E-2"/>
    <n v="5.0999999999999997E-2"/>
    <s v="S"/>
    <s v="R"/>
    <n v="0"/>
    <s v="F0330-ROSARI"/>
    <s v="QU619"/>
    <s v="N"/>
    <n v="-1"/>
    <s v="N"/>
    <n v="-1"/>
    <s v="K0403228789"/>
    <s v="%.- K0403228789, SE ENCONTRO UN PAJARO QUEMADO EN LA FASE A  SE REPONE 1-40/3 AMPS LIC 3215 RIM 519 DEL CTO TXN4010 QU619, COL. 24 JUNIO- AV RIO USUMACINTA 120 //11:43 CIERRAN CCF //FUSIBLE DE 40A. //SE H-11:46;"/>
  </r>
  <r>
    <s v="DK"/>
    <s v="04"/>
    <s v="I"/>
    <s v="1077"/>
    <n v="2018"/>
    <x v="3"/>
    <x v="0"/>
    <s v="*"/>
    <x v="19"/>
    <x v="0"/>
    <s v="2018.04.10"/>
    <s v="2018.04.10"/>
    <d v="1899-12-30T09:47:00"/>
    <d v="1899-12-30T14:22:00"/>
    <n v="2"/>
    <n v="4"/>
    <x v="104"/>
    <n v="100"/>
    <s v="D-252"/>
    <x v="0"/>
    <s v="DISTRIBUCION"/>
    <s v="RED AEREA"/>
    <s v="N"/>
    <n v="1100"/>
    <n v="275"/>
    <n v="2.0630000000000002E-3"/>
    <n v="533754"/>
    <n v="2.0608744852497591E-3"/>
    <n v="8.9999999999999993E-3"/>
    <s v="S"/>
    <s v="R"/>
    <n v="0"/>
    <s v="F2311 B AGUA"/>
    <s v="9FRLT"/>
    <s v="N"/>
    <n v="-1"/>
    <s v="N"/>
    <n v="-1"/>
    <s v="-"/>
    <s v="POR FALSO CONTACTO EN PUENTE DE MEDIA TENSION SE DAÑA CONECTOR DE LINEA VIVA EN LA FASE B, ES ATENDIDO CON LA LIC 3271 POR LA CUADRILLA XM800"/>
  </r>
  <r>
    <s v="DK"/>
    <s v="04"/>
    <s v="I"/>
    <s v="0884"/>
    <n v="2018"/>
    <x v="3"/>
    <x v="0"/>
    <s v="*"/>
    <x v="0"/>
    <x v="0"/>
    <s v="2018.04.11"/>
    <s v="2018.04.11"/>
    <d v="1899-12-30T11:53:00"/>
    <d v="1899-12-30T14:26:00"/>
    <n v="73"/>
    <n v="121"/>
    <x v="0"/>
    <n v="100"/>
    <s v="D-228"/>
    <x v="1"/>
    <s v="DISTRIBUCION"/>
    <s v="RED AEREA"/>
    <s v="N"/>
    <n v="18513"/>
    <n v="153"/>
    <n v="3.4715999999999997E-2"/>
    <n v="533754"/>
    <n v="3.4684517586753449E-2"/>
    <n v="0.186"/>
    <s v="S"/>
    <s v="R"/>
    <n v="0"/>
    <s v="F2364-LA SIR"/>
    <s v="9FB79"/>
    <s v="N"/>
    <n v="-1"/>
    <s v="N"/>
    <n v="-1"/>
    <s v="-"/>
    <s v="% AVE  (PAJARO) HACE CORTO CIRCUITO OPERANDO M.T.  UN FASE, XM-85 CON SICCOS K0403230437,  LIC-3312, RIM-464 REPONE 1F/15A/R3, QUEDANDO TODO CON POTENCIAL"/>
  </r>
  <r>
    <s v="DK"/>
    <s v="04"/>
    <s v="I"/>
    <s v="1072"/>
    <n v="2018"/>
    <x v="3"/>
    <x v="5"/>
    <s v="*"/>
    <x v="18"/>
    <x v="6"/>
    <s v="2018.04.12"/>
    <s v="2018.04.12"/>
    <d v="1899-12-30T07:41:00"/>
    <d v="1899-12-30T09:51:00"/>
    <n v="90"/>
    <n v="78"/>
    <x v="105"/>
    <n v="100"/>
    <s v="D-228"/>
    <x v="1"/>
    <s v="DISTRIBUCION"/>
    <s v="RED AEREA"/>
    <s v="N"/>
    <n v="10140"/>
    <n v="130"/>
    <n v="1.9015000000000001E-2"/>
    <n v="533754"/>
    <n v="1.8997515709484145E-2"/>
    <n v="0.19500000000000001"/>
    <s v="S"/>
    <s v="R"/>
    <n v="0"/>
    <s v="MERCADO"/>
    <s v="9DY3X"/>
    <s v="N"/>
    <n v="-1"/>
    <s v="N"/>
    <n v="-1"/>
    <s v="-"/>
    <s v="POR AVES QUEE HACEN CORTO CIRCUITO ENTRE FASES, SE REPONEN 2-12/3 EN EL MERCADO DE SIMOJOVEL, QUEDA NORMALIZADO CON LA LIC 3332 POR CUADRILLA XM96"/>
  </r>
  <r>
    <s v="DK"/>
    <s v="04"/>
    <s v="I"/>
    <s v="0841"/>
    <n v="2018"/>
    <x v="3"/>
    <x v="2"/>
    <s v="G"/>
    <x v="5"/>
    <x v="2"/>
    <s v="2018.04.12"/>
    <s v="2018.04.12"/>
    <d v="1899-12-30T15:50:00"/>
    <d v="1899-12-30T17:07:00"/>
    <n v="40"/>
    <n v="90"/>
    <x v="106"/>
    <n v="0"/>
    <s v="D-228"/>
    <x v="1"/>
    <s v="DISTRIBUCION"/>
    <s v="RED AEREA"/>
    <s v="N"/>
    <n v="6930"/>
    <n v="77"/>
    <n v="1.2995E-2"/>
    <n v="533754"/>
    <n v="1.2983509257073483E-2"/>
    <n v="5.0999999999999997E-2"/>
    <s v="S"/>
    <s v="R"/>
    <n v="0"/>
    <s v="F0062-ESMER2"/>
    <s v="K852R"/>
    <s v="N"/>
    <n v="-1"/>
    <s v="N"/>
    <n v="-1"/>
    <s v="K0403231083"/>
    <s v="% A CAUSA DE ARDILLA  OPERA SECC. DOS FASES, XM-207 REPONE 2F/12A/R3 SECC. CON LIC-3361, RIM-544, CTO. TGU-4020, SICCOS K0403231083, QUEDA TODO CON POTENCIAL."/>
  </r>
  <r>
    <s v="DK"/>
    <s v="04"/>
    <s v="I"/>
    <s v="0840"/>
    <n v="2018"/>
    <x v="3"/>
    <x v="2"/>
    <s v="G"/>
    <x v="6"/>
    <x v="5"/>
    <s v="2018.04.12"/>
    <s v="2018.04.12"/>
    <d v="1899-12-30T07:26:00"/>
    <d v="1899-12-30T13:42:00"/>
    <n v="110"/>
    <n v="3"/>
    <x v="107"/>
    <n v="0"/>
    <s v="D-228"/>
    <x v="1"/>
    <s v="DISTRIBUCION"/>
    <s v="RED AEREA"/>
    <s v="N"/>
    <n v="1128"/>
    <n v="376"/>
    <n v="2.1150000000000001E-3"/>
    <n v="533754"/>
    <n v="2.1133331085106621E-3"/>
    <n v="0.68899999999999995"/>
    <s v="S"/>
    <s v="R"/>
    <n v="0"/>
    <s v="F0301-CERROH"/>
    <s v="9B51C"/>
    <s v="N"/>
    <n v="-1"/>
    <s v="N"/>
    <n v="-1"/>
    <s v="K0403230886"/>
    <s v="% PAJARO HACE CORTO CIRCUITO EN M.T. ROMPIENDO DIST ENTRE CRUCETA Y M.T. XM-200 REPONE 1F/25A/R3RA. LIC 3353 RIM-543, CTO. TGD-4090, SICCOS K0403230732 DE ACUERDO ASICCOS ES UN SERVOICIO DEL OXXO."/>
  </r>
  <r>
    <s v="DK"/>
    <s v="04"/>
    <s v="I"/>
    <s v="0857"/>
    <n v="2018"/>
    <x v="3"/>
    <x v="1"/>
    <s v="*"/>
    <x v="4"/>
    <x v="3"/>
    <s v="2018.04.13"/>
    <s v="2018.04.13"/>
    <d v="1899-12-30T13:24:00"/>
    <d v="1899-12-30T18:15:00"/>
    <n v="39"/>
    <n v="46"/>
    <x v="60"/>
    <n v="100"/>
    <s v="D-228"/>
    <x v="1"/>
    <s v="DISTRIBUCION"/>
    <s v="RED AEREA"/>
    <s v="N"/>
    <n v="13386"/>
    <n v="291"/>
    <n v="2.5100999999999998E-2"/>
    <n v="533754"/>
    <n v="2.5078968963230253E-2"/>
    <n v="0.189"/>
    <s v="S"/>
    <s v="R"/>
    <n v="0"/>
    <s v="MONTE RICO"/>
    <s v="9L0AR"/>
    <s v="N"/>
    <n v="-1"/>
    <s v="N"/>
    <n v="-1"/>
    <s v="K0403231435"/>
    <s v="%.- K0403231435; C REPOSISION DE UN FUSIBLE DE 15A. EN SECCIONADORA FASE C A CAUSA DE PALOMA QUE PEGA EN MT, LIC:3401 RIM:DK04-TXF-0578 //EJECUTAN RIM HR17:40 //SE BLOQUEA 79 GIA 04010 HR 17:54 ///CIERRAN CCF 18:15//SE H-79 GIA 04010 HR 18:16"/>
  </r>
  <r>
    <s v="DK"/>
    <s v="04"/>
    <s v="I"/>
    <s v="1075"/>
    <n v="2018"/>
    <x v="3"/>
    <x v="2"/>
    <s v="G"/>
    <x v="6"/>
    <x v="2"/>
    <s v="2018.04.13"/>
    <s v="2018.04.13"/>
    <d v="1899-12-30T11:04:00"/>
    <d v="1899-12-30T13:40:00"/>
    <n v="125"/>
    <n v="13"/>
    <x v="108"/>
    <n v="0"/>
    <s v="D-228"/>
    <x v="1"/>
    <s v="DISTRIBUCION"/>
    <s v="RED AEREA"/>
    <s v="N"/>
    <n v="2028"/>
    <n v="156"/>
    <n v="3.803E-3"/>
    <n v="533754"/>
    <n v="3.799503141896829E-3"/>
    <n v="0.32500000000000001"/>
    <s v="S"/>
    <s v="R"/>
    <n v="0"/>
    <s v="F0278-DOMINS"/>
    <s v="J593M"/>
    <s v="N"/>
    <n v="-1"/>
    <s v="N"/>
    <n v="-1"/>
    <s v="-"/>
    <s v="POR AVE QUE HACE CONTACTO CON LAS FASES A Y B SE OPERA RAMAL QUE ALIMENTA LA PLAZA, SE REPONEN 2-12/3 CON LA LIC 3394 POR LA CUADRILLA XM202_x000d__x000a_"/>
  </r>
  <r>
    <s v="DK"/>
    <s v="04"/>
    <s v="I"/>
    <s v="0856"/>
    <n v="2018"/>
    <x v="3"/>
    <x v="2"/>
    <s v="G"/>
    <x v="5"/>
    <x v="0"/>
    <s v="2018.04.13"/>
    <s v="2018.04.13"/>
    <d v="1899-12-30T14:49:00"/>
    <d v="1899-12-30T16:35:00"/>
    <n v="60"/>
    <n v="99"/>
    <x v="109"/>
    <n v="0"/>
    <s v="D-228"/>
    <x v="1"/>
    <s v="DISTRIBUCION"/>
    <s v="RED AEREA"/>
    <s v="N"/>
    <n v="10494"/>
    <n v="106"/>
    <n v="1.9678000000000001E-2"/>
    <n v="533754"/>
    <n v="1.9660742589282704E-2"/>
    <n v="0.106"/>
    <s v="S"/>
    <s v="R"/>
    <n v="0"/>
    <s v="F9246-L.LOMA"/>
    <s v="K852R"/>
    <s v="N"/>
    <n v="-1"/>
    <s v="N"/>
    <n v="-1"/>
    <s v="K0403231482"/>
    <s v="%.-AVE (PALOMA  ROMPE DISTANCIA ENTRE FASE Y CRUCETA OPERANDO UNA FASE DE LA SECC, XM-207 REPONE  1F/25A/R3 SECC, LIC 3399, RIM-548, SICCOS K0403231482, CTO TGU- 4030"/>
  </r>
  <r>
    <s v="DK"/>
    <s v="04"/>
    <s v="I"/>
    <s v="1030"/>
    <n v="2018"/>
    <x v="3"/>
    <x v="0"/>
    <s v="*"/>
    <x v="9"/>
    <x v="3"/>
    <s v="2018.04.16"/>
    <s v="2018.04.16"/>
    <d v="1899-12-30T10:58:00"/>
    <d v="1899-12-30T13:53:00"/>
    <n v="20"/>
    <n v="35"/>
    <x v="110"/>
    <n v="100"/>
    <s v="D-281"/>
    <x v="3"/>
    <s v="DISTRIBUCION"/>
    <s v="RED AEREA"/>
    <s v="N"/>
    <n v="6125"/>
    <n v="175"/>
    <n v="1.1486E-2"/>
    <n v="533754"/>
    <n v="1.1475323838322523E-2"/>
    <n v="5.8000000000000003E-2"/>
    <s v="S"/>
    <s v="R"/>
    <n v="0"/>
    <s v="SOMBRA SELVA"/>
    <s v="9FEA1"/>
    <s v="N"/>
    <n v="-1"/>
    <s v="N"/>
    <n v="-1"/>
    <s v="-"/>
    <s v="LIBRANZA PROGRAMADA EN CIRCUITO, REGISTRO DK042018001700, LIC 3475, CTO LGZ4010, CAMBIO DE AISLAMIENTO ESPECIFICO EN CIRCUITO"/>
  </r>
  <r>
    <s v="DK"/>
    <s v="04"/>
    <s v="I"/>
    <s v="0890"/>
    <n v="2018"/>
    <x v="3"/>
    <x v="0"/>
    <s v="*"/>
    <x v="0"/>
    <x v="10"/>
    <s v="2018.04.17"/>
    <s v="2018.04.17"/>
    <d v="1899-12-30T07:53:00"/>
    <d v="1899-12-30T11:12:00"/>
    <n v="19"/>
    <n v="116"/>
    <x v="111"/>
    <n v="100"/>
    <s v="D-228"/>
    <x v="1"/>
    <s v="DISTRIBUCION"/>
    <s v="RED AEREA"/>
    <s v="N"/>
    <n v="23084"/>
    <n v="199"/>
    <n v="4.3286999999999999E-2"/>
    <n v="533754"/>
    <n v="4.3248387834095854E-2"/>
    <n v="6.3E-2"/>
    <s v="S"/>
    <s v="R"/>
    <n v="0"/>
    <s v="F2255  S ANT"/>
    <s v="9FEA3"/>
    <s v="N"/>
    <n v="-1"/>
    <s v="N"/>
    <n v="-1"/>
    <s v="K0403232348"/>
    <s v="% AVE (PALOMA) HACE CONTACTO M.T. K0403232348 ,LICENCIA 3507 RIM 941 FUSIBLES EN TRES SECIONAMIENTOS 1F-40A/R3, 1F-15A/R3, 1F-10A/R3 COL:VILLACORZO   CIRCUITO VFD4050   XM-82,  SE CIERRA CCF 11:12"/>
  </r>
  <r>
    <s v="DK"/>
    <s v="04"/>
    <s v="I"/>
    <s v="0916"/>
    <n v="2018"/>
    <x v="3"/>
    <x v="1"/>
    <s v="*"/>
    <x v="4"/>
    <x v="2"/>
    <s v="2018.04.17"/>
    <s v="2018.04.17"/>
    <d v="1899-12-30T08:42:00"/>
    <d v="1899-12-30T14:15:00"/>
    <n v="44"/>
    <n v="89"/>
    <x v="98"/>
    <n v="100"/>
    <s v="D-228"/>
    <x v="1"/>
    <s v="DISTRIBUCION"/>
    <s v="RED AEREA"/>
    <s v="N"/>
    <n v="29637"/>
    <n v="333"/>
    <n v="5.5574999999999999E-2"/>
    <n v="533754"/>
    <n v="5.5525579199406469E-2"/>
    <n v="0.24399999999999999"/>
    <s v="S"/>
    <s v="R"/>
    <n v="0"/>
    <s v="STA CRUZ NIP"/>
    <s v="9FA6H"/>
    <s v="N"/>
    <n v="-1"/>
    <s v="N"/>
    <n v="-1"/>
    <s v="-"/>
    <s v="%.-K0403232357 LIC:3519  SE REALIZA EN CIRCUITO GIA4020 SE REPONE 3F-5A/R3 Y 2F-8A/R3 EN LA SECC YA QUE UN PAJARO PEGO CON LA MEDIA TENCIONDEL TRANSFORMADOR PARTICULAR:AV  CHIAPA DE CORZO  /SE CIERRA CCF 14:15"/>
  </r>
  <r>
    <s v="DK"/>
    <s v="04"/>
    <s v="I"/>
    <s v="0894"/>
    <n v="2018"/>
    <x v="3"/>
    <x v="2"/>
    <s v="G"/>
    <x v="3"/>
    <x v="3"/>
    <s v="2018.04.18"/>
    <s v="2018.04.18"/>
    <d v="1899-12-30T08:29:00"/>
    <d v="1899-12-30T09:59:00"/>
    <n v="90"/>
    <n v="89"/>
    <x v="112"/>
    <n v="0"/>
    <s v="D-228"/>
    <x v="1"/>
    <s v="DISTRIBUCION"/>
    <s v="RED AEREA"/>
    <s v="N"/>
    <n v="8010"/>
    <n v="90"/>
    <n v="1.502E-2"/>
    <n v="533754"/>
    <n v="1.5006913297136883E-2"/>
    <n v="0.13500000000000001"/>
    <s v="S"/>
    <s v="R"/>
    <n v="0"/>
    <s v="F0332-ROSARI"/>
    <s v="9B51C"/>
    <s v="N"/>
    <n v="-1"/>
    <s v="N"/>
    <n v="-1"/>
    <s v="K0403232885"/>
    <s v="% ORDEN K0403232885 EN COL: ROSARIO UNA PAJARO (PALOMA) PROVOCA FALLA EN SECCIONADORA SE REPONE 1-40/3 EN LA FASE A; LIC 3534 RIM 571 CIERRAN CCF 10:14"/>
  </r>
  <r>
    <s v="DK"/>
    <s v="04"/>
    <s v="I"/>
    <s v="0899"/>
    <n v="2018"/>
    <x v="3"/>
    <x v="1"/>
    <s v="*"/>
    <x v="16"/>
    <x v="12"/>
    <s v="2018.04.18"/>
    <s v="2018.04.18"/>
    <d v="1899-12-30T17:34:00"/>
    <d v="1899-12-30T19:50:00"/>
    <n v="20"/>
    <n v="25"/>
    <x v="113"/>
    <n v="100"/>
    <s v="D-228"/>
    <x v="1"/>
    <s v="DISTRIBUCION"/>
    <s v="RED AEREA"/>
    <s v="N"/>
    <n v="3400"/>
    <n v="136"/>
    <n v="6.3759999999999997E-3"/>
    <n v="533754"/>
    <n v="6.3699756816810744E-3"/>
    <n v="4.4999999999999998E-2"/>
    <s v="S"/>
    <s v="R"/>
    <n v="0"/>
    <s v="RANCHO"/>
    <s v="9FEA2"/>
    <s v="N"/>
    <n v="-1"/>
    <s v="N"/>
    <n v="-1"/>
    <s v="K0403233331"/>
    <s v="% PAJARO PEGA EN LINEA M.T. Y CRUCETA HACIENDO CORTO CTO.  OPERA FASE &quot;A&quot;, XM-501 RETIRA AVE CON ORDEN SICCOS K0403233331, RIM-615, LIC.3557, COP 4032 SE REPONE 1F/12A/R3 FASE &quot;A&quot;. QUEDA TODO NORMAL."/>
  </r>
  <r>
    <s v="DK"/>
    <s v="04"/>
    <s v="I"/>
    <s v="1070"/>
    <n v="2018"/>
    <x v="3"/>
    <x v="2"/>
    <s v="G"/>
    <x v="5"/>
    <x v="0"/>
    <s v="2018.04.19"/>
    <s v="2018.04.19"/>
    <d v="1899-12-30T00:22:00"/>
    <d v="1899-12-30T01:29:00"/>
    <n v="40"/>
    <n v="92"/>
    <x v="114"/>
    <n v="0"/>
    <s v="D-228"/>
    <x v="7"/>
    <s v="DISTRIBUCION"/>
    <s v="RED AEREA"/>
    <s v="N"/>
    <n v="6164"/>
    <n v="67"/>
    <n v="1.1559E-2"/>
    <n v="533754"/>
    <n v="1.1548391206435924E-2"/>
    <n v="4.4999999999999998E-2"/>
    <s v="S"/>
    <s v="R"/>
    <n v="0"/>
    <s v="F0255-REMEDI"/>
    <s v="J593M"/>
    <s v="N"/>
    <n v="-1"/>
    <s v="N"/>
    <n v="-1"/>
    <s v="-"/>
    <s v="POR RAMA EN CONTACTO CON LA FASE C SE OPERA EL FUSIBLE DE UN RAMAL, ES ATENDIDO POR XM209, SE LABORO CON LA LIC 3560, SE REPONE 1-8/3 QUEDA NORMAL"/>
  </r>
  <r>
    <s v="DK"/>
    <s v="04"/>
    <s v="I"/>
    <s v="0923"/>
    <n v="2018"/>
    <x v="3"/>
    <x v="1"/>
    <s v="*"/>
    <x v="4"/>
    <x v="2"/>
    <s v="2018.04.20"/>
    <s v="2018.04.20"/>
    <d v="1899-12-30T12:04:00"/>
    <d v="1899-12-30T16:58:00"/>
    <n v="132"/>
    <n v="70"/>
    <x v="115"/>
    <n v="100"/>
    <s v="D-228"/>
    <x v="1"/>
    <s v="DISTRIBUCION"/>
    <s v="RED AEREA"/>
    <s v="N"/>
    <n v="20580"/>
    <n v="294"/>
    <n v="3.8592000000000001E-2"/>
    <n v="533754"/>
    <n v="3.8557088096763677E-2"/>
    <n v="0.64700000000000002"/>
    <s v="S"/>
    <s v="R"/>
    <n v="0"/>
    <s v="REFUGIO 2"/>
    <s v="K860R"/>
    <s v="N"/>
    <n v="-1"/>
    <s v="N"/>
    <n v="-1"/>
    <s v="K0403234397"/>
    <s v="%AVE (PAJARO) COMPE DISTANCIA CRUCETA-CCF HACIENDO CORTO FASE &quot;C&quot;, XM 57 RETIRA AVE Y REPONE 1F/25A/R3 SECC. FACE &quot;C&quot; DEL CTO. GIA-4020 CON LA RIM-625, LIC. 3614, SICCOS K0403234397 QUEDA TODO N ORMAL."/>
  </r>
  <r>
    <s v="DK"/>
    <s v="04"/>
    <s v="I"/>
    <s v="0970"/>
    <n v="2018"/>
    <x v="3"/>
    <x v="1"/>
    <s v="*"/>
    <x v="8"/>
    <x v="3"/>
    <s v="2018.04.21"/>
    <s v="2018.04.21"/>
    <d v="1899-12-30T13:28:00"/>
    <d v="1899-12-30T17:15:00"/>
    <n v="69"/>
    <n v="100"/>
    <x v="116"/>
    <n v="100"/>
    <s v="D-309"/>
    <x v="0"/>
    <s v="DISTRIBUCION"/>
    <s v="RED AEREA"/>
    <s v="N"/>
    <n v="22700"/>
    <n v="227"/>
    <n v="4.2567000000000001E-2"/>
    <n v="533754"/>
    <n v="4.2528955286517761E-2"/>
    <n v="0.26100000000000001"/>
    <s v="S"/>
    <s v="R"/>
    <n v="0"/>
    <s v="TSITZUN"/>
    <s v="9L0D8"/>
    <s v="N"/>
    <n v="-1"/>
    <s v="N"/>
    <n v="-1"/>
    <s v="-"/>
    <s v="%  K0403234698; LIC: 3632 RIM: 629; (1-8/3) FASE A; PUNTO CALIENTE EN SECCIONADORA POR FALSO CONTACTO, EN 4A PTE NTE 49 SN FERNANDO."/>
  </r>
  <r>
    <s v="DK"/>
    <s v="04"/>
    <s v="I"/>
    <s v="0929"/>
    <n v="2018"/>
    <x v="3"/>
    <x v="2"/>
    <s v="G"/>
    <x v="5"/>
    <x v="7"/>
    <s v="2018.04.22"/>
    <s v="2018.04.22"/>
    <d v="1899-12-30T09:57:00"/>
    <d v="1899-12-30T11:30:00"/>
    <n v="80"/>
    <n v="92"/>
    <x v="117"/>
    <n v="0"/>
    <s v="D-228"/>
    <x v="1"/>
    <s v="DISTRIBUCION"/>
    <s v="RED AEREA"/>
    <s v="N"/>
    <n v="8556"/>
    <n v="93"/>
    <n v="1.6043999999999999E-2"/>
    <n v="533754"/>
    <n v="1.6029856450724491E-2"/>
    <n v="0.124"/>
    <s v="S"/>
    <s v="R"/>
    <n v="0"/>
    <s v="F0398-VISHER"/>
    <s v="K860R"/>
    <s v="N"/>
    <n v="-1"/>
    <s v="N"/>
    <n v="-1"/>
    <s v="K0403234774"/>
    <s v="%.-PAJARO HACE CORTO CIRCUITO EN M.T. OPERANDO 1 FASE EN M.T. Y DE UN TRANSF. XM-205 CON SICCOS K0403234774; LIC:3648 , REPORTA XM 205 SE REPONE 1F-3A EN TD DE 35 KVA 3F Y 1F/25A/R3 SECC. CTO TGU 4060 CON LA RIM-595, LIC. 3648, QUED ATODO NORMAL"/>
  </r>
  <r>
    <s v="DK"/>
    <s v="04"/>
    <s v="I"/>
    <s v="0928"/>
    <n v="2018"/>
    <x v="3"/>
    <x v="1"/>
    <s v="*"/>
    <x v="1"/>
    <x v="0"/>
    <s v="2018.04.23"/>
    <s v="2018.04.23"/>
    <d v="1899-12-30T11:51:00"/>
    <d v="1899-12-30T20:06:00"/>
    <n v="12"/>
    <n v="18"/>
    <x v="118"/>
    <n v="100"/>
    <s v="D-252"/>
    <x v="0"/>
    <s v="DISTRIBUCION"/>
    <s v="RED AEREA"/>
    <s v="N"/>
    <n v="8910"/>
    <n v="495"/>
    <n v="1.6708000000000001E-2"/>
    <n v="533754"/>
    <n v="1.6693083330523051E-2"/>
    <n v="9.9000000000000005E-2"/>
    <s v="S"/>
    <s v="R"/>
    <n v="0"/>
    <s v="CHININAL"/>
    <s v="9L0AR"/>
    <s v="N"/>
    <n v="-1"/>
    <s v="N"/>
    <n v="-1"/>
    <s v="K0403235008"/>
    <s v="% FALSO CONTACTO EN CONECTOR DE L.V.  (PUNTO CALIENTE) DE PUENTE DAÑA ÑA FASE, XM-56 CORRIGE PUENTE DANADO EN MT FASE &quot;A&quot; EN SECC., LIC 3693 RIM-643 CTO TXS-4030, SICCOS K0403235008, QUEDA TODO NORMALIZADO."/>
  </r>
  <r>
    <s v="DK"/>
    <s v="04"/>
    <s v="I"/>
    <s v="1062"/>
    <n v="2018"/>
    <x v="3"/>
    <x v="2"/>
    <s v="G"/>
    <x v="6"/>
    <x v="10"/>
    <s v="2018.04.23"/>
    <s v="2018.04.23"/>
    <d v="1899-12-30T13:04:00"/>
    <d v="1899-12-30T14:10:00"/>
    <n v="40"/>
    <n v="56"/>
    <x v="119"/>
    <n v="0"/>
    <s v="D-228"/>
    <x v="12"/>
    <s v="DISTRIBUCION"/>
    <s v="RED AEREA"/>
    <s v="N"/>
    <n v="3696"/>
    <n v="66"/>
    <n v="6.9309999999999997E-3"/>
    <n v="533754"/>
    <n v="6.9245382704391911E-3"/>
    <n v="4.3999999999999997E-2"/>
    <s v="S"/>
    <s v="R"/>
    <n v="0"/>
    <s v="F0526-S.6JUN"/>
    <s v="9DY7X"/>
    <s v="N"/>
    <n v="-1"/>
    <s v="N"/>
    <n v="-1"/>
    <s v="-"/>
    <s v="%K0403235055, LIC-3864, (1-12/3), ANDAMIO PEGA CON LINEA DE MT/ POR DESCUIDO DE TRABAJADOR AL ESTAR  LABORANDO, SE REVISA SIN DAÑO CONDUCTOR, ESQ. CUAHUTEMOC, COL. AZTECA JUAN CRISPIN."/>
  </r>
  <r>
    <s v="DK"/>
    <s v="04"/>
    <s v="I"/>
    <s v="0952"/>
    <n v="2018"/>
    <x v="3"/>
    <x v="2"/>
    <s v="G"/>
    <x v="6"/>
    <x v="15"/>
    <s v="2018.04.24"/>
    <s v="2018.04.25"/>
    <d v="1899-12-30T21:38:00"/>
    <d v="1899-12-30T07:56:00"/>
    <n v="59"/>
    <n v="99"/>
    <x v="120"/>
    <n v="0"/>
    <s v="D-228"/>
    <x v="1"/>
    <s v="DISTRIBUCION"/>
    <s v="RED AEREA"/>
    <s v="N"/>
    <n v="61182"/>
    <n v="618"/>
    <n v="0.114728"/>
    <n v="533754"/>
    <n v="0.11462583886959161"/>
    <n v="0.60799999999999998"/>
    <s v="S"/>
    <s v="R"/>
    <n v="0"/>
    <s v="F0499- BRAVO"/>
    <s v="9B51C"/>
    <s v="N"/>
    <n v="-1"/>
    <s v="N"/>
    <n v="-1"/>
    <s v="K0403235987"/>
    <s v="%K0403235987 LIC: 3749, RIM: 617 (1-10/3) FASE A, UN PAJARO PROVOCA FALLA EN ESTA SECC, SE CAMBIA CCF EN AV LAS CASAS 7 CP.00000 SANTAMARIA DE LA RIVERA"/>
  </r>
  <r>
    <s v="DK"/>
    <s v="04"/>
    <s v="I"/>
    <s v="0960"/>
    <n v="2018"/>
    <x v="3"/>
    <x v="3"/>
    <s v="*"/>
    <x v="14"/>
    <x v="3"/>
    <s v="2018.04.25"/>
    <s v="2018.04.25"/>
    <d v="1899-12-30T10:14:00"/>
    <d v="1899-12-30T20:28:00"/>
    <n v="32"/>
    <n v="18"/>
    <x v="121"/>
    <n v="100"/>
    <s v="D-228"/>
    <x v="1"/>
    <s v="DISTRIBUCION"/>
    <s v="RED AEREA"/>
    <s v="N"/>
    <n v="11052"/>
    <n v="614"/>
    <n v="2.0725E-2"/>
    <n v="533754"/>
    <n v="2.0706168009982127E-2"/>
    <n v="0.32800000000000001"/>
    <s v="S"/>
    <s v="R"/>
    <n v="0"/>
    <s v="FCO I MADERO"/>
    <s v="9L0AR"/>
    <s v="N"/>
    <n v="-1"/>
    <s v="N"/>
    <n v="-1"/>
    <s v="K0403236309"/>
    <s v="%K0403236309 LIC:3789 RIM:712 SE RESTABLECE 2-10/3 EN SECC. FASE A Y C. CAUSA DE PALOMA QUE PEGA EN LA MT  COL:EJIDO FRANCISCO I MADERO ,"/>
  </r>
  <r>
    <s v="DK"/>
    <s v="04"/>
    <s v="I"/>
    <s v="0956"/>
    <n v="2018"/>
    <x v="3"/>
    <x v="1"/>
    <s v="*"/>
    <x v="8"/>
    <x v="3"/>
    <s v="2018.04.25"/>
    <s v="2018.04.25"/>
    <d v="1899-12-30T14:11:00"/>
    <d v="1899-12-30T21:05:00"/>
    <n v="115"/>
    <n v="167"/>
    <x v="122"/>
    <n v="100"/>
    <s v="D-228"/>
    <x v="1"/>
    <s v="DISTRIBUCION"/>
    <s v="RED AEREA"/>
    <s v="N"/>
    <n v="69138"/>
    <n v="414"/>
    <n v="0.12964700000000001"/>
    <n v="533754"/>
    <n v="0.12953158196472533"/>
    <n v="0.79300000000000004"/>
    <s v="S"/>
    <s v="R"/>
    <n v="0"/>
    <s v="MARUSIA"/>
    <s v="9M96L"/>
    <s v="N"/>
    <n v="-1"/>
    <s v="N"/>
    <n v="-1"/>
    <s v="K0403236553"/>
    <s v="%-K0403236553; LIC:3792; RIM: 656 SE RESTABLECE (1-12 /3) EN SECC FASE A,CAUSA PALOMA QUE PEGA EN LA LINEA, SE SUSTITUYE  FUSIBLE VOLADO EN EDIF A DEPTO 201 TANKA PAKBAL"/>
  </r>
  <r>
    <s v="DK"/>
    <s v="04"/>
    <s v="I"/>
    <s v="0961"/>
    <n v="2018"/>
    <x v="3"/>
    <x v="1"/>
    <s v="*"/>
    <x v="4"/>
    <x v="0"/>
    <s v="2018.04.26"/>
    <s v="2018.04.26"/>
    <d v="1899-12-30T08:39:00"/>
    <d v="1899-12-30T11:00:00"/>
    <n v="86"/>
    <n v="92"/>
    <x v="81"/>
    <n v="100"/>
    <s v="D-228"/>
    <x v="1"/>
    <s v="DISTRIBUCION"/>
    <s v="RED AEREA"/>
    <s v="N"/>
    <n v="12972"/>
    <n v="141"/>
    <n v="2.4324999999999999E-2"/>
    <n v="533754"/>
    <n v="2.4303330747872616E-2"/>
    <n v="0.20200000000000001"/>
    <s v="S"/>
    <s v="R"/>
    <n v="0"/>
    <s v="SAN JUDAS TA"/>
    <s v="9MNT1"/>
    <s v="N"/>
    <n v="-1"/>
    <s v="N"/>
    <n v="-1"/>
    <s v="K0403236963"/>
    <s v="%K0403236963 LIC-3812 RIM; 0661; SE REPONE 1-25 AMP EN FASE A  A CAUSA DE AVE QUE PEGA EN LINEA DE MT. EN ESQ LUIS VIDAL Y MORELO CHIAPA DE CORZO."/>
  </r>
  <r>
    <s v="DK"/>
    <s v="04"/>
    <s v="I"/>
    <s v="0986"/>
    <n v="2018"/>
    <x v="3"/>
    <x v="2"/>
    <s v="G"/>
    <x v="3"/>
    <x v="15"/>
    <s v="2018.04.26"/>
    <s v="2018.04.26"/>
    <d v="1899-12-30T16:10:00"/>
    <d v="1899-12-30T18:23:00"/>
    <n v="70"/>
    <n v="86"/>
    <x v="123"/>
    <n v="0"/>
    <s v="D-228"/>
    <x v="0"/>
    <s v="DISTRIBUCION"/>
    <s v="RED AEREA"/>
    <s v="N"/>
    <n v="11438"/>
    <n v="133"/>
    <n v="2.1448999999999999E-2"/>
    <n v="533754"/>
    <n v="2.142934760207886E-2"/>
    <n v="0.155"/>
    <s v="S"/>
    <s v="R"/>
    <n v="0"/>
    <s v="F0151-JARDPE"/>
    <s v="K853R"/>
    <s v="N"/>
    <n v="-1"/>
    <s v="N"/>
    <n v="-1"/>
    <s v="K0403237681"/>
    <s v="% K0403237681 Y K0403237483 LIC: 3844 RIM: 634 SE REPONE (1-40/3) FASE B, SE ORIGINA FALSO CONTACTO EN EL AILADOR  Y LA LINEA  DE MT SE RELAIZA REAPRIETE DE AMARRE EN CALLE  ALEJANDRINA COL JARDINES DEL PEDREGAL."/>
  </r>
  <r>
    <s v="DK"/>
    <s v="04"/>
    <s v="I"/>
    <s v="0967"/>
    <n v="2018"/>
    <x v="3"/>
    <x v="2"/>
    <s v="G"/>
    <x v="3"/>
    <x v="14"/>
    <s v="2018.04.26"/>
    <s v="2018.04.26"/>
    <d v="1899-12-30T10:10:00"/>
    <d v="1899-12-30T12:45:00"/>
    <n v="60"/>
    <n v="33"/>
    <x v="124"/>
    <n v="0"/>
    <s v="D-228"/>
    <x v="0"/>
    <s v="DISTRIBUCION"/>
    <s v="RED AEREA"/>
    <s v="N"/>
    <n v="5115"/>
    <n v="155"/>
    <n v="9.5919999999999998E-3"/>
    <n v="533754"/>
    <n v="9.5830663564113808E-3"/>
    <n v="0.155"/>
    <s v="S"/>
    <s v="R"/>
    <n v="0"/>
    <s v="F_F0214_3D"/>
    <s v="9B51C"/>
    <s v="N"/>
    <n v="-1"/>
    <s v="N"/>
    <n v="-1"/>
    <s v="K0403237212"/>
    <s v="%K0403237212 LIC: 3816 RIM: 628 POR FALSO CONTACTO LINEAS DE M TENSION SALE DEL ASILAMIENTO SE ROMPIO;  SE REPONE DOS MTS  DE ALUMINIO SUA AS4 (1-65/3) Y (1-3/3) BCO 25 KVAYT L3816 EN CJON PRIV M37 L21"/>
  </r>
  <r>
    <s v="DK"/>
    <s v="04"/>
    <s v="I"/>
    <s v="0965"/>
    <n v="2018"/>
    <x v="3"/>
    <x v="3"/>
    <s v="*"/>
    <x v="17"/>
    <x v="10"/>
    <s v="2018.04.26"/>
    <s v="2018.04.26"/>
    <d v="1899-12-30T06:30:00"/>
    <d v="1899-12-30T13:20:00"/>
    <n v="42"/>
    <n v="80"/>
    <x v="125"/>
    <n v="100"/>
    <s v="D-228"/>
    <x v="12"/>
    <s v="DISTRIBUCION"/>
    <s v="RED AEREA"/>
    <s v="N"/>
    <n v="32800"/>
    <n v="410"/>
    <n v="6.1505999999999998E-2"/>
    <n v="533754"/>
    <n v="6.1451530105629183E-2"/>
    <n v="0.28699999999999998"/>
    <s v="S"/>
    <s v="R"/>
    <n v="0"/>
    <s v="BOMBANO2"/>
    <s v="9M9C4"/>
    <s v="N"/>
    <n v="-1"/>
    <s v="N"/>
    <n v="-1"/>
    <s v="K0403236842"/>
    <s v="%  K0403236842, LIC: 3805 RIM: 719 SE REPONEN (3-15/3) SE RETIRAN PUNTES PROVISIONAL INST. X TERCEROS Y EQUIPO MED DANADO (PROT CIVIL); EN SN. ANTONIO BOMBANO"/>
  </r>
  <r>
    <s v="DK"/>
    <s v="04"/>
    <s v="I"/>
    <s v="0993"/>
    <n v="2018"/>
    <x v="3"/>
    <x v="2"/>
    <s v="G"/>
    <x v="3"/>
    <x v="7"/>
    <s v="2018.04.27"/>
    <s v="2018.04.27"/>
    <d v="1899-12-30T10:52:00"/>
    <d v="1899-12-30T12:06:00"/>
    <n v="59"/>
    <n v="73"/>
    <x v="126"/>
    <n v="0"/>
    <s v="D-228"/>
    <x v="12"/>
    <s v="DISTRIBUCION"/>
    <s v="RED AEREA"/>
    <s v="N"/>
    <n v="5402"/>
    <n v="74"/>
    <n v="1.013E-2"/>
    <n v="533754"/>
    <n v="1.0120767244835635E-2"/>
    <n v="7.2999999999999995E-2"/>
    <s v="S"/>
    <s v="R"/>
    <n v="0"/>
    <s v="F0698-S.TORR"/>
    <s v="9FB76"/>
    <s v="N"/>
    <n v="-1"/>
    <s v="N"/>
    <n v="-1"/>
    <s v="K0403238074"/>
    <s v="% K0403238074, LIC:3873(1-65/3) FASE B, UN ALBANIL HIZO CONTACTO CON LA CABEZA EN PUNETES DEL TRANSF OPERANDO LA SECCIONADORA ,VERIFICANDO YA NO ENCONTRARON A NADIE EL ACCIDENTADO LO TRASLADARON AL HOSPITAL, SE CAMBIA CCF EN C ARRIAGA COL LAS TORRES"/>
  </r>
  <r>
    <s v="DK"/>
    <s v="04"/>
    <s v="I"/>
    <s v="1035"/>
    <n v="2018"/>
    <x v="3"/>
    <x v="1"/>
    <s v="*"/>
    <x v="4"/>
    <x v="2"/>
    <s v="2018.04.28"/>
    <s v="2018.04.28"/>
    <d v="1899-12-30T13:59:00"/>
    <d v="1899-12-30T16:20:00"/>
    <n v="79"/>
    <n v="36"/>
    <x v="97"/>
    <n v="100"/>
    <s v="D-233"/>
    <x v="6"/>
    <s v="DISTRIBUCION"/>
    <s v="RED AEREA"/>
    <s v="N"/>
    <n v="5076"/>
    <n v="141"/>
    <n v="9.5189999999999997E-3"/>
    <n v="533754"/>
    <n v="9.5099989882979803E-3"/>
    <n v="0.186"/>
    <s v="S"/>
    <s v="R"/>
    <n v="0"/>
    <s v="NANDAMBUA"/>
    <s v="9L0D8"/>
    <s v="N"/>
    <n v="-1"/>
    <s v="N"/>
    <n v="-1"/>
    <s v="-"/>
    <s v="% K0403238522, LIC:3915, RIM:677, SE REPONE (1-8/3) PUNTO CALIENTE EN LA ARGOLLA DE FUSIBLE VOLADO CAUSA DE SOBRECARGA, SE CORRIGE Y SE CAMBIA CCF, EN PRIV LOMA LARGA COL MORELOS NANDANBUA 2A SECC"/>
  </r>
  <r>
    <s v="DK"/>
    <s v="04"/>
    <s v="I"/>
    <s v="1074"/>
    <n v="2018"/>
    <x v="3"/>
    <x v="0"/>
    <s v="*"/>
    <x v="0"/>
    <x v="0"/>
    <s v="2018.04.30"/>
    <s v="2018.04.30"/>
    <d v="1899-12-30T10:52:00"/>
    <d v="1899-12-30T16:39:00"/>
    <n v="121"/>
    <n v="135"/>
    <x v="127"/>
    <n v="100"/>
    <s v="D-228"/>
    <x v="0"/>
    <s v="DISTRIBUCION"/>
    <s v="RED AEREA"/>
    <s v="N"/>
    <n v="46845"/>
    <n v="347"/>
    <n v="8.7844000000000005E-2"/>
    <n v="533754"/>
    <n v="8.7765150237749973E-2"/>
    <n v="0.7"/>
    <s v="S"/>
    <s v="R"/>
    <n v="0"/>
    <s v="F2366 FLORES"/>
    <s v="9B4YM"/>
    <s v="N"/>
    <n v="-1"/>
    <s v="N"/>
    <n v="-1"/>
    <s v="-"/>
    <s v="% K0403239093, LIC:3965, RIM:559, SE REPONE (1-12/3) FASE B, FALSO CONTACTO EN FUSIBLE VOLADO ; SE REALIZA CAMBIO DE CCF, RANCHERIAS LAS FLORES , TAPACHULITA, VILLACORZO."/>
  </r>
  <r>
    <s v="DK"/>
    <s v="04"/>
    <s v="I"/>
    <s v="1049"/>
    <n v="2018"/>
    <x v="3"/>
    <x v="2"/>
    <s v="G"/>
    <x v="5"/>
    <x v="0"/>
    <s v="2018.04.30"/>
    <s v="2018.04.30"/>
    <d v="1899-12-30T08:17:00"/>
    <d v="1899-12-30T10:03:00"/>
    <n v="65"/>
    <n v="145"/>
    <x v="128"/>
    <n v="0"/>
    <s v="D-228"/>
    <x v="1"/>
    <s v="DISTRIBUCION"/>
    <s v="RED AEREA"/>
    <s v="N"/>
    <n v="15370"/>
    <n v="106"/>
    <n v="2.8822E-2"/>
    <n v="533754"/>
    <n v="2.879603712571709E-2"/>
    <n v="0.115"/>
    <s v="S"/>
    <s v="R"/>
    <n v="0"/>
    <s v="F0113-CANT2"/>
    <s v="9B51C"/>
    <s v="N"/>
    <n v="-1"/>
    <s v="N"/>
    <n v="-1"/>
    <s v="K0403238863"/>
    <s v="% PAJAROS OCASIOANANCORTO DAÑANDO APARTARRAYO EXPLOTADO, XM-209 RETIRA PAJARO REPONE 1F/40A/R3, LIC 3954,RIM-633, CTO TGU-4030, SE DEJA CON POTENCIAL SICCOS  K0403238863"/>
  </r>
  <r>
    <s v="DK"/>
    <s v="04"/>
    <s v="I"/>
    <s v="1082"/>
    <n v="2018"/>
    <x v="3"/>
    <x v="0"/>
    <s v="*"/>
    <x v="0"/>
    <x v="2"/>
    <s v="2018.04.30"/>
    <s v="2018.04.30"/>
    <d v="1899-12-30T17:21:00"/>
    <d v="1899-12-30T18:01:00"/>
    <n v="16"/>
    <n v="64"/>
    <x v="129"/>
    <n v="100"/>
    <s v="D-228"/>
    <x v="1"/>
    <s v="DISTRIBUCION"/>
    <s v="RED AEREA"/>
    <s v="N"/>
    <n v="2560"/>
    <n v="40"/>
    <n v="4.8009999999999997E-3"/>
    <n v="533754"/>
    <n v="4.7962169838539851E-3"/>
    <n v="1.0999999999999999E-2"/>
    <s v="S"/>
    <s v="R"/>
    <n v="0"/>
    <s v="F2229- 10 TE"/>
    <s v="9FGCU"/>
    <s v="N"/>
    <n v="-1"/>
    <s v="N"/>
    <n v="-1"/>
    <s v="-"/>
    <s v="% K0403239391, LIC:3972, RIM: 562, SE REPONE (1-12/3) FASE B  POR AVE QUE PEGA EN LA LINEA DE MT, SE REALIZA CAMBIO DE CCF, EN AV GARDENIAS SAN JUAN"/>
  </r>
  <r>
    <s v="DK"/>
    <s v="04"/>
    <s v="I"/>
    <s v="1086"/>
    <n v="2018"/>
    <x v="4"/>
    <x v="1"/>
    <s v="*"/>
    <x v="6"/>
    <x v="5"/>
    <s v="2018.05.01"/>
    <s v="2018.05.02"/>
    <d v="1899-12-30T20:16:00"/>
    <d v="1899-12-30T10:09:00"/>
    <n v="90"/>
    <n v="120"/>
    <x v="130"/>
    <n v="100"/>
    <s v="D-228"/>
    <x v="1"/>
    <s v="DISTRIBUCION"/>
    <s v="RED AEREA"/>
    <s v="N"/>
    <n v="99960"/>
    <n v="833"/>
    <n v="0.187277"/>
    <n v="533754"/>
    <n v="0.18727728504142357"/>
    <n v="1.25"/>
    <s v="S"/>
    <s v="R"/>
    <n v="0"/>
    <s v="F_F1280_3D"/>
    <s v="9DW0G"/>
    <s v="N"/>
    <n v="-1"/>
    <s v="N"/>
    <n v="-1"/>
    <s v="-"/>
    <s v="%.-K0403239663, LIC:4017, RIM:692, (1-40/3) FASE A ; CAUSA DE CHOQUE DE PAJARO SOBRE LA LINEA DE MT; SE REALIZA EL CAMBIO DEL CCF; EN 8A OTE SUR COL. EL JOBO."/>
  </r>
  <r>
    <s v="DK"/>
    <s v="04"/>
    <s v="I"/>
    <s v="1098"/>
    <n v="2018"/>
    <x v="4"/>
    <x v="2"/>
    <s v="G"/>
    <x v="3"/>
    <x v="3"/>
    <s v="2018.05.01"/>
    <s v="2018.05.02"/>
    <d v="1899-12-30T20:45:00"/>
    <d v="1899-12-30T01:26:00"/>
    <n v="50"/>
    <n v="72"/>
    <x v="37"/>
    <n v="0"/>
    <s v="D-228"/>
    <x v="1"/>
    <s v="DISTRIBUCION"/>
    <s v="RED AEREA"/>
    <s v="N"/>
    <n v="20232"/>
    <n v="281"/>
    <n v="3.7905000000000001E-2"/>
    <n v="533754"/>
    <n v="3.7905102350521025E-2"/>
    <n v="0.23400000000000001"/>
    <s v="S"/>
    <s v="R"/>
    <n v="0"/>
    <s v="F0330-ROSARI"/>
    <s v="9B57E"/>
    <s v="N"/>
    <n v="-1"/>
    <s v="N"/>
    <n v="-1"/>
    <s v="K0403239670"/>
    <s v="% k0403239670, LIC:4009. RIM:666 (1-25/3) FASE A, CAUSA ARDILLA ELECTROCUTADA , SE REALIZA CAMBIO DEL CCF EN PROL A CD DEPORTIVA"/>
  </r>
  <r>
    <s v="DK"/>
    <s v="04"/>
    <s v="I"/>
    <s v="1301"/>
    <n v="2018"/>
    <x v="4"/>
    <x v="2"/>
    <s v="G"/>
    <x v="6"/>
    <x v="10"/>
    <s v="2018.05.01"/>
    <s v="2018.05.01"/>
    <d v="1899-12-30T17:25:00"/>
    <d v="1899-12-30T22:01:00"/>
    <n v="90"/>
    <n v="99"/>
    <x v="131"/>
    <n v="0"/>
    <s v="D-228"/>
    <x v="0"/>
    <s v="DISTRIBUCION"/>
    <s v="RED AEREA"/>
    <s v="N"/>
    <n v="27324"/>
    <n v="276"/>
    <n v="5.1192000000000001E-2"/>
    <n v="533754"/>
    <n v="5.1192122213604023E-2"/>
    <n v="0.41399999999999998"/>
    <s v="S"/>
    <s v="R"/>
    <n v="0"/>
    <s v="F0508-MISIO1"/>
    <s v="9FPKY"/>
    <s v="N"/>
    <n v="-1"/>
    <s v="N"/>
    <n v="-1"/>
    <s v="-"/>
    <s v="% K0403239639, LIC-3995, (1-40/3) FASE B, OPERA  POR FALSO CONTACTO EN CONECTOR , SE RESTABLECE EN AV. COVADONGA 383 FRACC. LA MISION"/>
  </r>
  <r>
    <s v="DK"/>
    <s v="04"/>
    <s v="I"/>
    <s v="1130"/>
    <n v="2018"/>
    <x v="4"/>
    <x v="1"/>
    <s v="*"/>
    <x v="4"/>
    <x v="0"/>
    <s v="2018.05.02"/>
    <s v="2018.05.02"/>
    <d v="1899-12-30T19:50:00"/>
    <d v="1899-12-30T22:00:00"/>
    <n v="54"/>
    <n v="88"/>
    <x v="132"/>
    <n v="100"/>
    <s v="D-228"/>
    <x v="1"/>
    <s v="DISTRIBUCION"/>
    <s v="RED AEREA"/>
    <s v="N"/>
    <n v="11440"/>
    <n v="130"/>
    <n v="2.1433000000000001E-2"/>
    <n v="533754"/>
    <n v="2.1433094646597498E-2"/>
    <n v="0.11700000000000001"/>
    <s v="S"/>
    <s v="R"/>
    <n v="0"/>
    <s v="C MIGUEL HGO"/>
    <s v="9MNT1"/>
    <s v="N"/>
    <n v="-1"/>
    <s v="N"/>
    <n v="-1"/>
    <s v="K0403240161"/>
    <s v="%.K0403240161, LIC:4055, RIM.697, SE REPONE (2-12/3) RAMAL Y (1-2/3) EN TD 30KVA 3F, CAUSA ZANATE (AVE) QUE PEGA EN RED DE MT, BARRION SAN JACINTO DE CHIAPA DE CORZO."/>
  </r>
  <r>
    <s v="DK"/>
    <s v="04"/>
    <s v="I"/>
    <s v="1107"/>
    <n v="2018"/>
    <x v="4"/>
    <x v="3"/>
    <s v="*"/>
    <x v="13"/>
    <x v="9"/>
    <s v="2018.05.02"/>
    <s v="2018.05.02"/>
    <d v="1899-12-30T10:38:00"/>
    <d v="1899-12-30T11:10:00"/>
    <n v="200"/>
    <n v="257"/>
    <x v="133"/>
    <n v="100"/>
    <s v="D-228"/>
    <x v="1"/>
    <s v="DISTRIBUCION"/>
    <s v="RED AEREA"/>
    <s v="N"/>
    <n v="8224"/>
    <n v="32"/>
    <n v="1.5408E-2"/>
    <n v="533754"/>
    <n v="1.5407847060630928E-2"/>
    <n v="0.107"/>
    <s v="S"/>
    <s v="R"/>
    <n v="0"/>
    <s v="RAMAL CASETA"/>
    <s v="9M9C4"/>
    <s v="N"/>
    <n v="-1"/>
    <s v="N"/>
    <n v="-1"/>
    <s v="K0403239799"/>
    <s v="%K0403239799, LIC:4025 RIM: SE REPONE (1-65/3) A CAUSA DE ARDILLA QUE PEGA EN LAS LINEAS D MT; SE CAMBIA EL CCF EN COL ROMULO CALZADA CUARTEL DE LOS SOLDADOS"/>
  </r>
  <r>
    <s v="DK"/>
    <s v="04"/>
    <s v="I"/>
    <s v="1126"/>
    <n v="2018"/>
    <x v="4"/>
    <x v="2"/>
    <s v="G"/>
    <x v="12"/>
    <x v="1"/>
    <s v="2018.05.03"/>
    <s v="2018.05.03"/>
    <d v="1899-12-30T08:29:00"/>
    <d v="1899-12-30T14:15:00"/>
    <n v="59"/>
    <n v="137"/>
    <x v="134"/>
    <n v="0"/>
    <s v="D-228"/>
    <x v="0"/>
    <s v="DISTRIBUCION"/>
    <s v="RED AEREA"/>
    <s v="N"/>
    <n v="47402"/>
    <n v="346"/>
    <n v="8.8808999999999999E-2"/>
    <n v="533754"/>
    <n v="8.8808702136190076E-2"/>
    <n v="0.34"/>
    <s v="S"/>
    <s v="R"/>
    <n v="0"/>
    <s v="F0843"/>
    <s v="9DY7T"/>
    <s v="N"/>
    <n v="-1"/>
    <s v="N"/>
    <n v="-1"/>
    <s v="K0403240343"/>
    <s v="%. k04043240343, LIC-4084, RIM-679,(1-65/3), FALSO CONTACTO PUENTES SUELTOS DEL LADO CARGA  LE FALTA COBRE COLILLAS SE HACEN CONEXIONES DE LAS TRES FASE SE REPONE CCF, CARR E ZAPATA KM8"/>
  </r>
  <r>
    <s v="DK"/>
    <s v="04"/>
    <s v="I"/>
    <s v="1458"/>
    <n v="2018"/>
    <x v="4"/>
    <x v="2"/>
    <s v="*"/>
    <x v="12"/>
    <x v="18"/>
    <s v="2018.05.04"/>
    <s v="2018.05.04"/>
    <d v="1899-12-30T07:25:00"/>
    <d v="1899-12-30T11:09:00"/>
    <n v="317"/>
    <n v="429"/>
    <x v="9"/>
    <n v="100"/>
    <s v="D-252"/>
    <x v="14"/>
    <s v="DISTRIBUCION"/>
    <s v="RED AEREA"/>
    <s v="N"/>
    <n v="96096"/>
    <n v="224"/>
    <n v="0.180038"/>
    <n v="533754"/>
    <n v="0.18003799503141896"/>
    <n v="1.1839999999999999"/>
    <s v="S"/>
    <s v="T"/>
    <s v="JARDINES"/>
    <n v="0"/>
    <s v="9L0AR"/>
    <s v="N"/>
    <n v="-1"/>
    <s v="N"/>
    <n v="-1"/>
    <s v="-"/>
    <s v="%K0403241208, LIC-4081 DERIVADO DE FALLA DE UN DIA ANTERIOR CTO RDB-4045, SE DEJA TRASFERIDA LA CARGA AL TGD-4090, POR PROBLEMA SOCIAL, NO SE NORMALIZA LA CARGA DEJANDO AFECTADO CENTROS DE CARGA. YA QUE EL RESTAURADOR NO RESPONDIO QUEDANDO BLOQUEADO."/>
  </r>
  <r>
    <s v="DK"/>
    <s v="04"/>
    <s v="I"/>
    <s v="1143"/>
    <n v="2018"/>
    <x v="4"/>
    <x v="1"/>
    <s v="*"/>
    <x v="4"/>
    <x v="0"/>
    <s v="2018.05.04"/>
    <s v="2018.05.04"/>
    <d v="1899-12-30T14:27:00"/>
    <d v="1899-12-30T20:36:00"/>
    <n v="86"/>
    <n v="43"/>
    <x v="135"/>
    <n v="100"/>
    <s v="D-228"/>
    <x v="0"/>
    <s v="DISTRIBUCION"/>
    <s v="RED AEREA"/>
    <s v="N"/>
    <n v="15867"/>
    <n v="369"/>
    <n v="2.9727E-2"/>
    <n v="533754"/>
    <n v="2.972717768859812E-2"/>
    <n v="0.52900000000000003"/>
    <s v="S"/>
    <s v="R"/>
    <n v="0"/>
    <s v="STA CECILIA"/>
    <s v="9L0D8"/>
    <s v="N"/>
    <n v="-1"/>
    <s v="N"/>
    <n v="-1"/>
    <s v="K0403241791"/>
    <s v="%K0403241791 , LIC:4133, (1-10/3) POR  FALSO CONTACTO PROVOCA PUNTO CALIENTE EN ARGOLLA DE FUS VOLADO, AMINO VEC NUCATILI COL. CHIAPA DE CORZO,"/>
  </r>
  <r>
    <s v="DK"/>
    <s v="04"/>
    <s v="I"/>
    <s v="1451"/>
    <n v="2018"/>
    <x v="4"/>
    <x v="0"/>
    <s v="*"/>
    <x v="9"/>
    <x v="3"/>
    <s v="2018.05.04"/>
    <s v="2018.05.04"/>
    <d v="1899-12-30T14:09:00"/>
    <d v="1899-12-30T14:21:00"/>
    <n v="1592"/>
    <n v="2953"/>
    <x v="9"/>
    <n v="100"/>
    <s v="D-319"/>
    <x v="4"/>
    <s v="DISTRIBUCION"/>
    <s v="RED AEREA"/>
    <s v="N"/>
    <n v="35436"/>
    <n v="12"/>
    <n v="6.6390000000000005E-2"/>
    <n v="533754"/>
    <n v="6.6390134781191337E-2"/>
    <n v="0.318"/>
    <s v="S"/>
    <s v="T"/>
    <s v="LA BODEGONA"/>
    <n v="0"/>
    <s v="9MNTT"/>
    <s v="N"/>
    <n v="-1"/>
    <s v="N"/>
    <n v="-1"/>
    <s v="-"/>
    <s v="% SCADA, LIC. 4117, 3 PZAS APARTARRAYO DE DISTRIBUCION DAÑADO;  SE REALIZA CAMBIO DE APARTARRAYOS,  R0308 OBREGON; C POR SUPERVISORIO."/>
  </r>
  <r>
    <s v="DK"/>
    <s v="04"/>
    <s v="I"/>
    <s v="1172"/>
    <n v="2018"/>
    <x v="4"/>
    <x v="0"/>
    <s v="*"/>
    <x v="9"/>
    <x v="3"/>
    <s v="2018.05.05"/>
    <s v="2018.05.05"/>
    <d v="1899-12-30T16:11:00"/>
    <d v="1899-12-30T18:30:00"/>
    <n v="120"/>
    <n v="138"/>
    <x v="136"/>
    <n v="100"/>
    <s v="D-279"/>
    <x v="13"/>
    <s v="DISTRIBUCION"/>
    <s v="RED AEREA"/>
    <s v="N"/>
    <n v="19182"/>
    <n v="139"/>
    <n v="3.5937999999999998E-2"/>
    <n v="533754"/>
    <n v="3.5937903978237165E-2"/>
    <n v="0.27800000000000002"/>
    <s v="S"/>
    <s v="R"/>
    <n v="0"/>
    <s v="F2467"/>
    <s v="9M9C7"/>
    <s v="N"/>
    <n v="-1"/>
    <s v="N"/>
    <n v="-1"/>
    <s v="K0403242005"/>
    <s v="%.- K043242005, LIC:4160, RIM:602, (1-25/3) FASE A, OPERA POR DESCARGA ATMOSFERICA , EN 2SUR COL NVO MEXICO."/>
  </r>
  <r>
    <s v="DK"/>
    <s v="04"/>
    <s v="I"/>
    <s v="1159"/>
    <n v="2018"/>
    <x v="4"/>
    <x v="1"/>
    <s v="*"/>
    <x v="12"/>
    <x v="18"/>
    <s v="2018.05.05"/>
    <s v="2018.05.05"/>
    <d v="1899-12-30T11:18:00"/>
    <d v="1899-12-30T17:00:00"/>
    <n v="27"/>
    <n v="25"/>
    <x v="137"/>
    <n v="100"/>
    <s v="D-228"/>
    <x v="1"/>
    <s v="DISTRIBUCION"/>
    <s v="RED AEREA"/>
    <s v="N"/>
    <n v="8550"/>
    <n v="342"/>
    <n v="1.6018999999999999E-2"/>
    <n v="533754"/>
    <n v="1.6018615317168583E-2"/>
    <n v="0.154"/>
    <s v="S"/>
    <s v="R"/>
    <n v="0"/>
    <s v="BUENA VISTA"/>
    <s v="9L0D8"/>
    <s v="N"/>
    <n v="-1"/>
    <s v="N"/>
    <n v="-1"/>
    <s v="K0403241955"/>
    <s v="% K04043241955, LIC:4157, RIM:721, SE REPONE (1-12/3), AVE PEGA EN LAS LINEAS DE MT, FRACC LOS ARBOLITOS, EN 4 NTE Y 8 OTE , SUCHIAPA"/>
  </r>
  <r>
    <s v="DK"/>
    <s v="04"/>
    <s v="I"/>
    <s v="1170"/>
    <n v="2018"/>
    <x v="4"/>
    <x v="3"/>
    <s v="*"/>
    <x v="7"/>
    <x v="6"/>
    <s v="2018.05.05"/>
    <s v="2018.05.05"/>
    <d v="1899-12-30T21:49:00"/>
    <d v="1899-12-30T21:55:00"/>
    <n v="12"/>
    <n v="30"/>
    <x v="138"/>
    <n v="100"/>
    <s v="D-279"/>
    <x v="13"/>
    <s v="DISTRIBUCION"/>
    <s v="RED AEREA"/>
    <s v="N"/>
    <n v="180"/>
    <n v="6"/>
    <n v="3.3700000000000001E-4"/>
    <n v="533754"/>
    <n v="3.3723400667723331E-4"/>
    <n v="1E-3"/>
    <s v="S"/>
    <s v="R"/>
    <n v="0"/>
    <s v="RIA ROSENDO"/>
    <s v="9MNTB"/>
    <s v="N"/>
    <n v="-1"/>
    <s v="N"/>
    <n v="-1"/>
    <s v="K0403242043"/>
    <s v="%- K0403242043, LIC:4166, RIM:791, (2-40/3) FASE A, OPERA POR DESCARGA ATMOSFERICAS. EN COL ROSENDO ZALASAR"/>
  </r>
  <r>
    <s v="DK"/>
    <s v="04"/>
    <s v="I"/>
    <s v="1155"/>
    <n v="2018"/>
    <x v="4"/>
    <x v="1"/>
    <s v="*"/>
    <x v="8"/>
    <x v="3"/>
    <s v="2018.05.05"/>
    <s v="2018.05.05"/>
    <d v="1899-12-30T10:36:00"/>
    <d v="1899-12-30T15:19:00"/>
    <n v="69"/>
    <n v="66"/>
    <x v="139"/>
    <n v="100"/>
    <s v="D-228"/>
    <x v="1"/>
    <s v="DISTRIBUCION"/>
    <s v="RED AEREA"/>
    <s v="N"/>
    <n v="18678"/>
    <n v="283"/>
    <n v="3.4993999999999997E-2"/>
    <n v="533754"/>
    <n v="3.4993648759540912E-2"/>
    <n v="0.32600000000000001"/>
    <s v="S"/>
    <s v="R"/>
    <n v="0"/>
    <s v="VCENTE G"/>
    <s v="9L0D8"/>
    <s v="N"/>
    <n v="-1"/>
    <s v="N"/>
    <n v="-1"/>
    <s v="K0403241951"/>
    <s v="% K0403241951, LIC:4153, RIM:719,(1-2/3) EN TD 45KVA (2-8/3) SEC 2SUR Y 1PTE  (2-10/3)SEC 2PTE Y 1 SUR  CHOQUE DE ZANATE (AVE) EN LINEA D MT, EN  CARR HACIA SAN FERNANDO."/>
  </r>
  <r>
    <s v="DK"/>
    <s v="04"/>
    <s v="I"/>
    <s v="1181"/>
    <n v="2018"/>
    <x v="4"/>
    <x v="1"/>
    <s v="*"/>
    <x v="4"/>
    <x v="0"/>
    <s v="2018.05.07"/>
    <s v="2018.05.07"/>
    <d v="1899-12-30T10:48:00"/>
    <d v="1899-12-30T18:35:00"/>
    <n v="54"/>
    <n v="58"/>
    <x v="132"/>
    <n v="100"/>
    <s v="D-228"/>
    <x v="1"/>
    <s v="DISTRIBUCION"/>
    <s v="RED AEREA"/>
    <s v="N"/>
    <n v="27086"/>
    <n v="467"/>
    <n v="5.0745999999999999E-2"/>
    <n v="533754"/>
    <n v="5.0746223915886346E-2"/>
    <n v="0.42"/>
    <s v="S"/>
    <s v="R"/>
    <n v="0"/>
    <s v="C MIGUEL HGO"/>
    <s v="9L0D8"/>
    <s v="N"/>
    <n v="-1"/>
    <s v="N"/>
    <n v="-1"/>
    <s v="K0403242430"/>
    <s v="% K0403242430 LIC:4214 (1-12/3) FASE A, CAUSA  PAJAROS CHOCAN CON LINEAS DE MT, EN PLAYA GRANDE CHIAPA DE CORZO"/>
  </r>
  <r>
    <s v="DK"/>
    <s v="04"/>
    <s v="I"/>
    <s v="1182"/>
    <n v="2018"/>
    <x v="4"/>
    <x v="1"/>
    <s v="*"/>
    <x v="4"/>
    <x v="3"/>
    <s v="2018.05.07"/>
    <s v="2018.05.07"/>
    <d v="1899-12-30T11:15:00"/>
    <d v="1899-12-30T18:40:00"/>
    <n v="48"/>
    <n v="65"/>
    <x v="140"/>
    <n v="100"/>
    <s v="D-228"/>
    <x v="1"/>
    <s v="DISTRIBUCION"/>
    <s v="RED AEREA"/>
    <s v="N"/>
    <n v="28925"/>
    <n v="445"/>
    <n v="5.4191999999999997E-2"/>
    <n v="533754"/>
    <n v="5.4191631350772075E-2"/>
    <n v="0.35599999999999998"/>
    <s v="S"/>
    <s v="R"/>
    <n v="0"/>
    <s v="TIA AMELIA"/>
    <s v="9MNT1"/>
    <s v="N"/>
    <n v="-1"/>
    <s v="N"/>
    <n v="-1"/>
    <s v="K0403242462"/>
    <s v="% K0403242462 LIC:4215 (1-12/3) FASE B, CAUSA  PAJAROS ROMPEN DISTANCIA AL CHOCAR CON LINEAS DE M T, EN RIVERA CUSPASMI"/>
  </r>
  <r>
    <s v="DK"/>
    <s v="04"/>
    <s v="I"/>
    <s v="1201"/>
    <n v="2018"/>
    <x v="4"/>
    <x v="1"/>
    <s v="*"/>
    <x v="4"/>
    <x v="2"/>
    <s v="2018.05.08"/>
    <s v="2018.05.08"/>
    <d v="1899-12-30T14:50:00"/>
    <d v="1899-12-30T16:40:00"/>
    <n v="70"/>
    <n v="145"/>
    <x v="141"/>
    <n v="100"/>
    <s v="D-228"/>
    <x v="1"/>
    <s v="DISTRIBUCION"/>
    <s v="RED AEREA"/>
    <s v="N"/>
    <n v="15950"/>
    <n v="110"/>
    <n v="2.9883E-2"/>
    <n v="533754"/>
    <n v="2.988268003612151E-2"/>
    <n v="0.128"/>
    <s v="S"/>
    <s v="R"/>
    <n v="0"/>
    <s v="FLECHAS"/>
    <s v="9MNT1"/>
    <s v="N"/>
    <n v="-1"/>
    <s v="N"/>
    <n v="-1"/>
    <s v="K0403243836"/>
    <s v="% K0403243836, LIC:4249. (1-10/3) FASE B: CAUSA DE AVE QUE PEGA EN LA RED DE MT; EN  CJON  SANTA ROSA  RIVERA LAS FLECHAS,"/>
  </r>
  <r>
    <s v="DK"/>
    <s v="04"/>
    <s v="I"/>
    <s v="1202"/>
    <n v="2018"/>
    <x v="4"/>
    <x v="1"/>
    <s v="*"/>
    <x v="8"/>
    <x v="3"/>
    <s v="2018.05.08"/>
    <s v="2018.05.08"/>
    <d v="1899-12-30T19:31:00"/>
    <d v="1899-12-30T21:02:00"/>
    <n v="69"/>
    <n v="100"/>
    <x v="116"/>
    <n v="100"/>
    <s v="D-228"/>
    <x v="1"/>
    <s v="DISTRIBUCION"/>
    <s v="RED AEREA"/>
    <s v="N"/>
    <n v="9100"/>
    <n v="91"/>
    <n v="1.7049000000000002E-2"/>
    <n v="533754"/>
    <n v="1.7049052559793464E-2"/>
    <n v="0.105"/>
    <s v="S"/>
    <s v="R"/>
    <n v="0"/>
    <s v="TSITZUN"/>
    <s v="9L0AR"/>
    <s v="N"/>
    <n v="-1"/>
    <s v="N"/>
    <n v="-1"/>
    <s v="K0403243982"/>
    <s v="% K0403243982, LIC:4261. (1-12/3) FASE A; CAUSA DE AVE PEGA CON LAS LINEAS DE MT, EN 4AV NTE PTE 55 BARRIO GUADALUPE MUNICIPIO DE SAN FERNANDO."/>
  </r>
  <r>
    <s v="DK"/>
    <s v="04"/>
    <s v="I"/>
    <s v="1199"/>
    <n v="2018"/>
    <x v="4"/>
    <x v="1"/>
    <s v="*"/>
    <x v="8"/>
    <x v="3"/>
    <s v="2018.05.08"/>
    <s v="2018.05.08"/>
    <d v="1899-12-30T12:01:00"/>
    <d v="1899-12-30T12:55:00"/>
    <n v="30"/>
    <n v="67"/>
    <x v="142"/>
    <n v="100"/>
    <s v="D-319"/>
    <x v="4"/>
    <s v="DISTRIBUCION"/>
    <s v="RED AEREA"/>
    <s v="N"/>
    <n v="3618"/>
    <n v="54"/>
    <n v="6.7780000000000002E-3"/>
    <n v="533754"/>
    <n v="6.7784035342123902E-3"/>
    <n v="2.7E-2"/>
    <s v="S"/>
    <s v="R"/>
    <n v="0"/>
    <s v="KINDER"/>
    <s v="9L0DA"/>
    <s v="N"/>
    <n v="-1"/>
    <s v="N"/>
    <n v="-1"/>
    <s v="K0403243696"/>
    <s v="%.- K0403243696, LIC:4143. (1-25/3) FASE A , FALLA  APARTARRAYO AL GENERARSE UNA DESCARGA  ATMOSFERICA EN CALLE 15 COL BENITO JUAREZ"/>
  </r>
  <r>
    <s v="DK"/>
    <s v="04"/>
    <s v="I"/>
    <s v="1198"/>
    <n v="2018"/>
    <x v="4"/>
    <x v="1"/>
    <s v="*"/>
    <x v="16"/>
    <x v="12"/>
    <s v="2018.05.08"/>
    <s v="2018.05.08"/>
    <d v="1899-12-30T12:50:00"/>
    <d v="1899-12-30T16:25:00"/>
    <n v="32"/>
    <n v="35"/>
    <x v="143"/>
    <n v="100"/>
    <s v="D-228"/>
    <x v="1"/>
    <s v="DISTRIBUCION"/>
    <s v="RED AEREA"/>
    <s v="N"/>
    <n v="7525"/>
    <n v="215"/>
    <n v="1.4097999999999999E-2"/>
    <n v="533754"/>
    <n v="1.4098255001367672E-2"/>
    <n v="0.115"/>
    <s v="S"/>
    <s v="R"/>
    <n v="0"/>
    <s v="TOMBAK"/>
    <s v="9DY6U"/>
    <s v="N"/>
    <n v="-1"/>
    <s v="N"/>
    <n v="-1"/>
    <s v="K0403243734"/>
    <s v="% K0403243734 LIC:4248 (1-8/3) CAUSA AVE PEGA EN LA RED D MT, CARR MALPASO MUNICIPIO DE TECPATAN"/>
  </r>
  <r>
    <s v="DK"/>
    <s v="04"/>
    <s v="I"/>
    <s v="1261"/>
    <n v="2018"/>
    <x v="4"/>
    <x v="2"/>
    <s v="G"/>
    <x v="11"/>
    <x v="2"/>
    <s v="2018.05.09"/>
    <s v="2018.05.09"/>
    <d v="1899-12-30T10:35:00"/>
    <d v="1899-12-30T11:31:00"/>
    <n v="100"/>
    <n v="80"/>
    <x v="144"/>
    <n v="0"/>
    <s v="D-228"/>
    <x v="0"/>
    <s v="DISTRIBUCION"/>
    <s v="RED AEREA"/>
    <s v="N"/>
    <n v="4480"/>
    <n v="56"/>
    <n v="8.3929999999999994E-3"/>
    <n v="533754"/>
    <n v="8.3933797217444744E-3"/>
    <n v="9.2999999999999999E-2"/>
    <s v="S"/>
    <s v="R"/>
    <n v="0"/>
    <s v="F0437"/>
    <s v="9DY7G"/>
    <s v="N"/>
    <n v="-1"/>
    <s v="N"/>
    <n v="-1"/>
    <s v="-"/>
    <s v="% K0403244425 LIC4278 (1-8/3) FASE B, SE TIENE  FALSO CONTACTO EN TERMINAL DE UNA DE LAS FASES, SE REAJUSTA EN CALLE LUIS ESPINOZA 1574 COL. XAMAIPAK"/>
  </r>
  <r>
    <s v="DK"/>
    <s v="04"/>
    <s v="I"/>
    <s v="1200"/>
    <n v="2018"/>
    <x v="4"/>
    <x v="2"/>
    <s v="G"/>
    <x v="3"/>
    <x v="4"/>
    <s v="2018.05.09"/>
    <s v="2018.05.09"/>
    <d v="1899-12-30T01:21:00"/>
    <d v="1899-12-30T02:22:00"/>
    <n v="115"/>
    <n v="157"/>
    <x v="145"/>
    <n v="0"/>
    <s v="D-228"/>
    <x v="1"/>
    <s v="DISTRIBUCION"/>
    <s v="RED AEREA"/>
    <s v="N"/>
    <n v="9577"/>
    <n v="61"/>
    <n v="1.7943000000000001E-2"/>
    <n v="533754"/>
    <n v="1.7942722677488133E-2"/>
    <n v="0.11700000000000001"/>
    <s v="S"/>
    <s v="R"/>
    <n v="0"/>
    <s v="F0662-1A SUR"/>
    <s v="QU169"/>
    <s v="N"/>
    <n v="-1"/>
    <s v="N"/>
    <n v="-1"/>
    <s v="K0403244046"/>
    <s v="%K0403244046, LIC:4264, (2-40/3), FASE A Y C, CAUSA  GATO CHOCA CON LA LINEA DE MT OCASIONA CC, SE REALIZA EL RETIRO DE LAS RAMAS EN 2.SUR Y 7A OTE. COL CTO, SUR OTE U."/>
  </r>
  <r>
    <s v="DK"/>
    <s v="04"/>
    <s v="I"/>
    <s v="1246"/>
    <n v="2018"/>
    <x v="4"/>
    <x v="3"/>
    <s v="*"/>
    <x v="14"/>
    <x v="4"/>
    <s v="2018.05.09"/>
    <s v="2018.05.10"/>
    <d v="1899-12-30T18:49:00"/>
    <d v="1899-12-30T15:15:00"/>
    <n v="11"/>
    <n v="11"/>
    <x v="146"/>
    <n v="100"/>
    <s v="D-228"/>
    <x v="12"/>
    <s v="DISTRIBUCION"/>
    <s v="RED AEREA"/>
    <s v="N"/>
    <n v="13486"/>
    <n v="1226"/>
    <n v="2.5266E-2"/>
    <n v="533754"/>
    <n v="2.5266321189162048E-2"/>
    <n v="0.22500000000000001"/>
    <s v="S"/>
    <s v="R"/>
    <n v="0"/>
    <s v="FELIPE ANGE"/>
    <s v="K395R"/>
    <s v="N"/>
    <n v="-1"/>
    <s v="N"/>
    <n v="-1"/>
    <s v="-"/>
    <s v="%.- K0403244710;LIC-4299; (1-8/3) FASE B, SE ENCUENTRA SECC ALAMBRADA AFECTA RAMAL, SE DESCONECTA Y SE AISLA FALLA  EN RANCHO EL BALAZO."/>
  </r>
  <r>
    <s v="DK"/>
    <s v="04"/>
    <s v="I"/>
    <s v="1304"/>
    <n v="2018"/>
    <x v="4"/>
    <x v="0"/>
    <s v="*"/>
    <x v="9"/>
    <x v="4"/>
    <s v="2018.05.10"/>
    <s v="2018.05.10"/>
    <d v="1899-12-30T13:28:00"/>
    <d v="1899-12-30T17:34:00"/>
    <n v="65"/>
    <n v="75"/>
    <x v="147"/>
    <n v="100"/>
    <s v="D-228"/>
    <x v="0"/>
    <s v="DISTRIBUCION"/>
    <s v="RED AEREA"/>
    <s v="N"/>
    <n v="18450"/>
    <n v="246"/>
    <n v="3.4566E-2"/>
    <n v="533754"/>
    <n v="3.4566485684416413E-2"/>
    <n v="0.26700000000000002"/>
    <s v="S"/>
    <s v="R"/>
    <n v="0"/>
    <s v="F2520-PROGRE"/>
    <s v="K746R"/>
    <s v="N"/>
    <n v="-1"/>
    <s v="N"/>
    <n v="-1"/>
    <s v="-"/>
    <s v="% K0403244896 LIC-4301 (1-8/3) FASE C, OPERA POR FALSO CONTACTO EN TERMINALES DE CONECTOR, SE RESTABLECE EN COL: UNION Y PROGRESO"/>
  </r>
  <r>
    <s v="DK"/>
    <s v="04"/>
    <s v="I"/>
    <s v="1207"/>
    <n v="2018"/>
    <x v="4"/>
    <x v="1"/>
    <s v="*"/>
    <x v="8"/>
    <x v="3"/>
    <s v="2018.05.10"/>
    <s v="2018.05.10"/>
    <d v="1899-12-30T08:40:00"/>
    <d v="1899-12-30T16:54:00"/>
    <n v="23"/>
    <n v="34"/>
    <x v="103"/>
    <n v="100"/>
    <s v="D-228"/>
    <x v="0"/>
    <s v="DISTRIBUCION"/>
    <s v="RED AEREA"/>
    <s v="N"/>
    <n v="16796"/>
    <n v="494"/>
    <n v="3.1468000000000003E-2"/>
    <n v="533754"/>
    <n v="3.1467679867504504E-2"/>
    <n v="0.189"/>
    <s v="S"/>
    <s v="R"/>
    <n v="0"/>
    <s v="JUY JUY"/>
    <s v="QU169"/>
    <s v="N"/>
    <n v="-1"/>
    <s v="N"/>
    <n v="-1"/>
    <s v="K0403244780"/>
    <s v="%K0403244780, LIC:43000, (1-12/3) FASE C; A CAUSA DE FALSO CONTACTO EN UNO DE LOS CONECTORES, SE REALIZA REAJUSTE DEL CONECTOR, EN EDIF TANKA PAKBAL CAMPAMENTO MILITAR."/>
  </r>
  <r>
    <s v="DK"/>
    <s v="04"/>
    <s v="I"/>
    <s v="1216"/>
    <n v="2018"/>
    <x v="4"/>
    <x v="1"/>
    <s v="*"/>
    <x v="12"/>
    <x v="18"/>
    <s v="2018.05.10"/>
    <s v="2018.05.11"/>
    <d v="1899-12-30T16:03:00"/>
    <d v="1899-12-30T11:16:00"/>
    <n v="27"/>
    <n v="25"/>
    <x v="148"/>
    <n v="100"/>
    <s v="D-279"/>
    <x v="13"/>
    <s v="DISTRIBUCION"/>
    <s v="RED AEREA"/>
    <s v="N"/>
    <n v="28825"/>
    <n v="1153"/>
    <n v="5.4004000000000003E-2"/>
    <n v="533754"/>
    <n v="5.4004279124840279E-2"/>
    <n v="0.51900000000000002"/>
    <s v="S"/>
    <s v="R"/>
    <n v="0"/>
    <s v="F1108_PACU2"/>
    <s v="9FLGD"/>
    <s v="N"/>
    <n v="-1"/>
    <s v="N"/>
    <n v="-1"/>
    <s v="K0403244954"/>
    <s v="%.- K0403244954, LIC:4321, (1-25/3) FASE A,  AISLADOR FLAMEADO A CAUSA DE DESCARGA  ATMOSFERICA EN COL: PACU SUCHIAPA"/>
  </r>
  <r>
    <s v="DK"/>
    <s v="04"/>
    <s v="I"/>
    <s v="1223"/>
    <n v="2018"/>
    <x v="4"/>
    <x v="1"/>
    <s v="*"/>
    <x v="8"/>
    <x v="13"/>
    <s v="2018.05.11"/>
    <s v="2018.05.11"/>
    <d v="1899-12-30T12:37:00"/>
    <d v="1899-12-30T16:36:00"/>
    <n v="126"/>
    <n v="118"/>
    <x v="149"/>
    <n v="100"/>
    <s v="D-279"/>
    <x v="13"/>
    <s v="DISTRIBUCION"/>
    <s v="RED AEREA"/>
    <s v="N"/>
    <n v="28202"/>
    <n v="239"/>
    <n v="5.2837000000000002E-2"/>
    <n v="533754"/>
    <n v="5.2837074757285191E-2"/>
    <n v="0.502"/>
    <s v="S"/>
    <s v="R"/>
    <n v="0"/>
    <s v="COPANO"/>
    <s v="9FLGU"/>
    <s v="N"/>
    <n v="-1"/>
    <s v="N"/>
    <n v="-1"/>
    <s v="K0403245236"/>
    <s v="%.- K0403245236, LIC:4333, (2-25/3) Y (1-10/3) FASE B; AISLADOR FLAMIADO POR DESCARGA ATMOSFERICA, EN CARRT CHIC-MALPASO KM 24+800"/>
  </r>
  <r>
    <s v="DK"/>
    <s v="04"/>
    <s v="I"/>
    <s v="1220"/>
    <n v="2018"/>
    <x v="4"/>
    <x v="2"/>
    <s v="G"/>
    <x v="6"/>
    <x v="15"/>
    <s v="2018.05.11"/>
    <s v="2018.05.11"/>
    <d v="1899-12-30T08:36:00"/>
    <d v="1899-12-30T12:32:00"/>
    <n v="65"/>
    <n v="59"/>
    <x v="53"/>
    <n v="0"/>
    <s v="D-228"/>
    <x v="0"/>
    <s v="DISTRIBUCION"/>
    <s v="RED AEREA"/>
    <s v="N"/>
    <n v="13924"/>
    <n v="236"/>
    <n v="2.6086999999999999E-2"/>
    <n v="533754"/>
    <n v="2.6086923938743317E-2"/>
    <n v="0.25600000000000001"/>
    <s v="S"/>
    <s v="R"/>
    <n v="0"/>
    <s v="F0495-S.MAGI"/>
    <s v="9B51C"/>
    <s v="N"/>
    <n v="-1"/>
    <s v="N"/>
    <n v="-1"/>
    <s v="K0403245054"/>
    <s v="% K0403245054, LIC:4326, (1-25/3) Y (1-5/3) FASE B;  A CAUSA DE FALSO CONTACTO, EN AV. INFERNILLO, AV PRESA MALPASO, COL LAS PALMAS"/>
  </r>
  <r>
    <s v="DK"/>
    <s v="04"/>
    <s v="I"/>
    <s v="1217"/>
    <n v="2018"/>
    <x v="4"/>
    <x v="1"/>
    <s v="*"/>
    <x v="12"/>
    <x v="18"/>
    <s v="2018.05.11"/>
    <s v="2018.05.11"/>
    <d v="1899-12-30T09:26:00"/>
    <d v="1899-12-30T12:55:00"/>
    <n v="27"/>
    <n v="25"/>
    <x v="150"/>
    <n v="100"/>
    <s v="D-319"/>
    <x v="4"/>
    <s v="DISTRIBUCION"/>
    <s v="RED AEREA"/>
    <s v="N"/>
    <n v="5225"/>
    <n v="209"/>
    <n v="9.7890000000000008E-3"/>
    <n v="533754"/>
    <n v="9.7891538049363572E-3"/>
    <n v="9.4E-2"/>
    <s v="S"/>
    <s v="R"/>
    <n v="0"/>
    <s v="F1113_RANCHO"/>
    <s v="9FLGD"/>
    <s v="N"/>
    <n v="-1"/>
    <s v="N"/>
    <n v="-1"/>
    <s v="K0403245082"/>
    <s v="%.- K0403245082, LIC:4327, (1-12/3) FASE A, OPERO POR APARTARRAYO EXPLOTADO A CAUSA DE DESCARGA ATMOSFERICA, EN RCHO SAN JOSE DEL CARMEN, PAC"/>
  </r>
  <r>
    <s v="DK"/>
    <s v="04"/>
    <s v="I"/>
    <s v="1238"/>
    <n v="2018"/>
    <x v="4"/>
    <x v="1"/>
    <s v="*"/>
    <x v="6"/>
    <x v="5"/>
    <s v="2018.05.11"/>
    <s v="2018.05.12"/>
    <d v="1899-12-30T16:30:00"/>
    <d v="1899-12-30T11:00:00"/>
    <n v="90"/>
    <n v="49"/>
    <x v="151"/>
    <n v="100"/>
    <s v="D-228"/>
    <x v="0"/>
    <s v="DISTRIBUCION"/>
    <s v="RED AEREA"/>
    <s v="N"/>
    <n v="54390"/>
    <n v="1110"/>
    <n v="0.10190100000000001"/>
    <n v="533754"/>
    <n v="0.101900875684304"/>
    <n v="1.665"/>
    <s v="S"/>
    <s v="R"/>
    <n v="0"/>
    <s v="F0564-P.BOSQ"/>
    <s v="9L0D8"/>
    <s v="N"/>
    <n v="-1"/>
    <s v="N"/>
    <n v="-1"/>
    <s v="K0403245440"/>
    <s v="%.- K0403245440, LIC:4354, (1-10/3), OPERA POR FALSO CONTACTO EL FUSIBLE, EN AV JUAN PABLO II EL JOBO"/>
  </r>
  <r>
    <s v="DK"/>
    <s v="04"/>
    <s v="I"/>
    <s v="1306"/>
    <n v="2018"/>
    <x v="4"/>
    <x v="1"/>
    <s v="*"/>
    <x v="4"/>
    <x v="3"/>
    <s v="2018.05.11"/>
    <s v="2018.05.12"/>
    <d v="1899-12-30T09:05:00"/>
    <d v="1899-12-30T00:01:00"/>
    <n v="15"/>
    <n v="13"/>
    <x v="64"/>
    <n v="100"/>
    <s v="D-228"/>
    <x v="12"/>
    <s v="DISTRIBUCION"/>
    <s v="RED AEREA"/>
    <s v="N"/>
    <n v="11648"/>
    <n v="896"/>
    <n v="2.1822999999999999E-2"/>
    <n v="533754"/>
    <n v="2.1822787276535631E-2"/>
    <n v="0.224"/>
    <s v="S"/>
    <s v="R"/>
    <n v="0"/>
    <s v="2OTE 2SUR"/>
    <s v="9L0D8"/>
    <s v="N"/>
    <n v="-1"/>
    <s v="N"/>
    <n v="-1"/>
    <s v="-"/>
    <s v="% K0403245065 LIC-4345 (1-25/3) OPERA POR PROPAGACION DE LA FALLA DE INSTALCION DE USUARIO, SE RESTABLECE EN C AURORA BUENA VISTA"/>
  </r>
  <r>
    <s v="DK"/>
    <s v="04"/>
    <s v="I"/>
    <s v="1225"/>
    <n v="2018"/>
    <x v="4"/>
    <x v="1"/>
    <s v="*"/>
    <x v="1"/>
    <x v="0"/>
    <s v="2018.05.11"/>
    <s v="2018.05.11"/>
    <d v="1899-12-30T09:47:00"/>
    <d v="1899-12-30T19:00:00"/>
    <n v="11"/>
    <n v="11"/>
    <x v="152"/>
    <n v="100"/>
    <s v="D-279"/>
    <x v="13"/>
    <s v="DISTRIBUCION"/>
    <s v="RED AEREA"/>
    <s v="N"/>
    <n v="6083"/>
    <n v="553"/>
    <n v="1.1396999999999999E-2"/>
    <n v="533754"/>
    <n v="1.1396635903431169E-2"/>
    <n v="0.10100000000000001"/>
    <s v="S"/>
    <s v="R"/>
    <n v="0"/>
    <s v="JERUSALEM"/>
    <s v="9L0D8"/>
    <s v="N"/>
    <n v="-1"/>
    <s v="N"/>
    <n v="-1"/>
    <s v="K0403245107"/>
    <s v="%.- K0403245107. LIC:4337, (1-10/3) EN FASE C Y (1-8/3) B, AISLADOR FLAMIADO POR DESCARGA ATMOSFERICA, EN CARRETERA PANAMERICANA KM 142."/>
  </r>
  <r>
    <s v="DK"/>
    <s v="04"/>
    <s v="I"/>
    <s v="1230"/>
    <n v="2018"/>
    <x v="4"/>
    <x v="1"/>
    <s v="*"/>
    <x v="1"/>
    <x v="0"/>
    <s v="2018.05.12"/>
    <s v="2018.05.12"/>
    <d v="1899-12-30T10:30:00"/>
    <d v="1899-12-30T13:00:00"/>
    <n v="28"/>
    <n v="29"/>
    <x v="153"/>
    <n v="100"/>
    <s v="D-228"/>
    <x v="0"/>
    <s v="DISTRIBUCION"/>
    <s v="RED AEREA"/>
    <s v="N"/>
    <n v="4350"/>
    <n v="150"/>
    <n v="8.1499999999999993E-3"/>
    <n v="533754"/>
    <n v="8.1498218280331384E-3"/>
    <n v="7.0000000000000007E-2"/>
    <s v="S"/>
    <s v="R"/>
    <n v="0"/>
    <s v="TRANS HOSPIT"/>
    <s v="9FLGD"/>
    <s v="N"/>
    <n v="-1"/>
    <s v="N"/>
    <n v="-1"/>
    <s v="K0403245606"/>
    <s v="%.- K0403245606, LIC:4356. SE REPONE (1-25/3) FASE C, CAIDA DE RAMAS SOBRRE LA LINEA DE MT, A CAUSA DE LOS TORRENCIALES DE VIENTOS FUERTES Y LLUVIAS DEL CANAL DE BAJA PRESION, SE RETIRAN RAMAS EN RANCHO LAS FLORES VISTA HERMOSA"/>
  </r>
  <r>
    <s v="DK"/>
    <s v="04"/>
    <s v="I"/>
    <s v="1262"/>
    <n v="2018"/>
    <x v="4"/>
    <x v="3"/>
    <s v="*"/>
    <x v="7"/>
    <x v="6"/>
    <s v="2018.05.12"/>
    <s v="2018.05.13"/>
    <d v="1899-12-30T16:49:00"/>
    <d v="1899-12-30T15:30:00"/>
    <n v="171"/>
    <n v="31"/>
    <x v="154"/>
    <n v="100"/>
    <s v="D-252"/>
    <x v="0"/>
    <s v="DISTRIBUCION"/>
    <s v="RED AEREA"/>
    <s v="N"/>
    <n v="42191"/>
    <n v="1361"/>
    <n v="7.9046000000000005E-2"/>
    <n v="533754"/>
    <n v="7.9045777642884174E-2"/>
    <n v="3.879"/>
    <s v="S"/>
    <s v="R"/>
    <n v="0"/>
    <s v="F_POMPOSO_3D"/>
    <s v="9MNTB"/>
    <s v="N"/>
    <n v="-1"/>
    <s v="N"/>
    <n v="-1"/>
    <s v="-"/>
    <s v="% K0403245658, LIC-4388, LINEA ROTA FASE C, POR FALSO CONTACTO, SE ABRE RAMAL CEGADO EN SECC DE POMPOSO PARA CERRAR REST, SE REPARA LINEA CON EMPALMES A COMPRESION EN ENTRONQUE A POMPOSO CASTELLANO"/>
  </r>
  <r>
    <s v="DK"/>
    <s v="04"/>
    <s v="I"/>
    <s v="1245"/>
    <n v="2018"/>
    <x v="4"/>
    <x v="0"/>
    <s v="*"/>
    <x v="0"/>
    <x v="10"/>
    <s v="2018.05.12"/>
    <s v="2018.05.12"/>
    <d v="1899-12-30T20:50:00"/>
    <d v="1899-12-30T22:43:00"/>
    <n v="22"/>
    <n v="125"/>
    <x v="155"/>
    <n v="100"/>
    <s v="D-228"/>
    <x v="7"/>
    <s v="DISTRIBUCION"/>
    <s v="RED AEREA"/>
    <s v="N"/>
    <n v="14125"/>
    <n v="113"/>
    <n v="2.6464000000000001E-2"/>
    <n v="533754"/>
    <n v="2.6463501912866227E-2"/>
    <n v="4.1000000000000002E-2"/>
    <s v="S"/>
    <s v="R"/>
    <n v="0"/>
    <s v="F2258 S ANT"/>
    <s v="9M9C7"/>
    <s v="N"/>
    <n v="-1"/>
    <s v="N"/>
    <n v="-1"/>
    <s v="-"/>
    <s v="3.- K0403245683; (1-40/3), (1-15/3), (1-12/3); OPERAN POR DESCARGA ATMOSFERICA SOBRE LA RED DE MT, SE ATIENDE FALLA RANCHO RECUERDO DE ESQUIPULAS, SE OTORGA LICENCIA LOCAL NUM 17, RESTABLECE CUADRILLA XM86. VFD-4040 A UN COSTADO DE PARCELA CEBTA"/>
  </r>
  <r>
    <s v="DK"/>
    <s v="04"/>
    <s v="I"/>
    <s v="1231"/>
    <n v="2018"/>
    <x v="4"/>
    <x v="3"/>
    <s v="*"/>
    <x v="14"/>
    <x v="4"/>
    <s v="2018.05.12"/>
    <s v="2018.05.12"/>
    <d v="1899-12-30T09:53:00"/>
    <d v="1899-12-30T13:05:00"/>
    <n v="41"/>
    <n v="43"/>
    <x v="156"/>
    <n v="100"/>
    <s v="D-228"/>
    <x v="15"/>
    <s v="DISTRIBUCION"/>
    <s v="RED AEREA"/>
    <s v="N"/>
    <n v="8256"/>
    <n v="192"/>
    <n v="1.5468000000000001E-2"/>
    <n v="533754"/>
    <n v="1.5467799772929102E-2"/>
    <n v="0.13100000000000001"/>
    <s v="S"/>
    <s v="R"/>
    <n v="0"/>
    <s v="TENEJAPA"/>
    <s v="9MNT4"/>
    <s v="N"/>
    <n v="-1"/>
    <s v="N"/>
    <n v="-1"/>
    <s v="K0403245600"/>
    <s v="% K0403245600, LIC:4361, (1-12/3), OPERA POR CAPACIDAD INADECUADA , SE RALIZA EL CAMBIO DEL FUSIBLE A UNO ADECUADO EN COL. EMILIANO ZAPATA (RAMAL TENEJAPA)"/>
  </r>
  <r>
    <s v="DK"/>
    <s v="04"/>
    <s v="I"/>
    <s v="1232"/>
    <n v="2018"/>
    <x v="4"/>
    <x v="2"/>
    <s v="G"/>
    <x v="5"/>
    <x v="10"/>
    <s v="2018.05.12"/>
    <s v="2018.05.12"/>
    <d v="1899-12-30T15:00:00"/>
    <d v="1899-12-30T17:09:00"/>
    <n v="90"/>
    <n v="105"/>
    <x v="41"/>
    <n v="0"/>
    <s v="D-228"/>
    <x v="0"/>
    <s v="DISTRIBUCION"/>
    <s v="RED AEREA"/>
    <s v="N"/>
    <n v="13545"/>
    <n v="129"/>
    <n v="2.5377E-2"/>
    <n v="533754"/>
    <n v="2.5376859002461807E-2"/>
    <n v="0.19400000000000001"/>
    <s v="S"/>
    <s v="R"/>
    <n v="0"/>
    <s v="F0366-4ASURP"/>
    <s v="9FB76"/>
    <s v="N"/>
    <n v="-1"/>
    <s v="N"/>
    <n v="-1"/>
    <s v="K0403245645"/>
    <s v="% K0403245645, LIC-4365, (1-25/3) F-A, FALSO CONTACTO POR CHOQUE DE AVE CON LA RED DE MT EN 6A SUR PTE 1248 CENTRO DE TUXTLA"/>
  </r>
  <r>
    <s v="DK"/>
    <s v="04"/>
    <s v="I"/>
    <s v="1233"/>
    <n v="2018"/>
    <x v="4"/>
    <x v="1"/>
    <s v="*"/>
    <x v="2"/>
    <x v="1"/>
    <s v="2018.05.12"/>
    <s v="2018.05.12"/>
    <d v="1899-12-30T19:25:00"/>
    <d v="1899-12-30T20:05:00"/>
    <n v="28"/>
    <n v="115"/>
    <x v="157"/>
    <n v="100"/>
    <s v="D-228"/>
    <x v="0"/>
    <s v="DISTRIBUCION"/>
    <s v="RED AEREA"/>
    <s v="N"/>
    <n v="4600"/>
    <n v="40"/>
    <n v="8.6180000000000007E-3"/>
    <n v="533754"/>
    <n v="8.6182023928626297E-3"/>
    <n v="1.9E-2"/>
    <s v="S"/>
    <s v="R"/>
    <n v="0"/>
    <s v="BAJIO"/>
    <s v="9L0D8"/>
    <s v="N"/>
    <n v="-1"/>
    <s v="N"/>
    <n v="-1"/>
    <s v="K0403245666"/>
    <s v="% K0403245666, LIC-4371 (3/25-3) SE TIENE UN FALSO CONTACTO EN LA LINEAS DE MT A CONSECUENCIA DE LUUVIAS Y DESCARGAS ATMOSFERICAS EN LA  ZONA EN CARR  LA ANGOSTURA-ACALA"/>
  </r>
  <r>
    <s v="DK"/>
    <s v="04"/>
    <s v="I"/>
    <s v="1282"/>
    <n v="2018"/>
    <x v="4"/>
    <x v="3"/>
    <s v="*"/>
    <x v="7"/>
    <x v="19"/>
    <s v="2018.05.13"/>
    <s v="2018.05.13"/>
    <d v="1899-12-30T17:12:00"/>
    <d v="1899-12-30T20:03:00"/>
    <n v="411"/>
    <n v="193"/>
    <x v="9"/>
    <n v="100"/>
    <s v="D-228"/>
    <x v="0"/>
    <s v="DISTRIBUCION"/>
    <s v="RED AEREA"/>
    <s v="N"/>
    <n v="33003"/>
    <n v="171"/>
    <n v="6.1831999999999998E-2"/>
    <n v="533754"/>
    <n v="6.1831855124270731E-2"/>
    <n v="1.171"/>
    <s v="S"/>
    <s v="T"/>
    <s v="REST TRIUNFO"/>
    <n v="0"/>
    <s v="9MNTB"/>
    <s v="N"/>
    <n v="-1"/>
    <s v="N"/>
    <n v="-1"/>
    <s v="-"/>
    <s v="% K0403245731 LIC- 4395 (1-45/3) FASE C, FALSO CONTACTO EN CCF LADO CARGA DEL R0204, EN COL: EL TRIUNFO CARRANZA"/>
  </r>
  <r>
    <s v="DK"/>
    <s v="04"/>
    <s v="I"/>
    <s v="1242"/>
    <n v="2018"/>
    <x v="4"/>
    <x v="0"/>
    <s v="*"/>
    <x v="0"/>
    <x v="2"/>
    <s v="2018.05.13"/>
    <s v="2018.05.13"/>
    <d v="1899-12-30T18:02:00"/>
    <d v="1899-12-30T21:31:00"/>
    <n v="30"/>
    <n v="60"/>
    <x v="45"/>
    <n v="100"/>
    <s v="D-279"/>
    <x v="13"/>
    <s v="DISTRIBUCION"/>
    <s v="RED AEREA"/>
    <s v="N"/>
    <n v="12540"/>
    <n v="209"/>
    <n v="2.3494000000000001E-2"/>
    <n v="533754"/>
    <n v="2.3493969131847255E-2"/>
    <n v="0.104"/>
    <s v="S"/>
    <s v="R"/>
    <n v="0"/>
    <s v="V.HGO.CAMINO"/>
    <s v="9MNTA"/>
    <s v="N"/>
    <n v="-1"/>
    <s v="N"/>
    <n v="-1"/>
    <s v="K0403245734"/>
    <s v="% K0403245734, LIC-4398 (1-25/3)FASE B, OPERA POR DESCARGA ATMOSFERICA SOBRE LAS LINEAS DE MT EN GRANJA NATALIA KM20 VILLAHIDALGO"/>
  </r>
  <r>
    <s v="DK"/>
    <s v="04"/>
    <s v="I"/>
    <s v="1270"/>
    <n v="2018"/>
    <x v="4"/>
    <x v="3"/>
    <s v="*"/>
    <x v="17"/>
    <x v="4"/>
    <s v="2018.05.14"/>
    <s v="2018.05.15"/>
    <d v="1899-12-30T21:34:00"/>
    <d v="1899-12-30T13:12:00"/>
    <n v="121"/>
    <n v="69"/>
    <x v="158"/>
    <n v="100"/>
    <s v="D-279"/>
    <x v="13"/>
    <s v="DISTRIBUCION"/>
    <s v="RED AEREA"/>
    <s v="N"/>
    <n v="64722"/>
    <n v="938"/>
    <n v="0.121258"/>
    <n v="533754"/>
    <n v="0.12125810766757719"/>
    <n v="1.8919999999999999"/>
    <s v="S"/>
    <s v="R"/>
    <n v="0"/>
    <s v="EL GAVILAN"/>
    <s v="9FEA1"/>
    <s v="N"/>
    <n v="-1"/>
    <s v="N"/>
    <n v="-1"/>
    <s v="K0403246383"/>
    <s v="% K0403246383 LIC-4455 (1-12/3) FASE C, SE TIENE UNA DESCARGA EN LA LINEA DE MT, SE CIERRA DE FORMA MANUAL CCF EN COL EL GAVILAN."/>
  </r>
  <r>
    <s v="DK"/>
    <s v="04"/>
    <s v="I"/>
    <s v="1287"/>
    <n v="2018"/>
    <x v="4"/>
    <x v="0"/>
    <s v="*"/>
    <x v="0"/>
    <x v="0"/>
    <s v="2018.05.14"/>
    <s v="2018.05.14"/>
    <d v="1899-12-30T08:15:00"/>
    <d v="1899-12-30T13:46:00"/>
    <n v="10"/>
    <n v="1"/>
    <x v="159"/>
    <n v="100"/>
    <s v="D-228"/>
    <x v="16"/>
    <s v="DISTRIBUCION"/>
    <s v="RED AEREA"/>
    <s v="N"/>
    <n v="331"/>
    <n v="331"/>
    <n v="6.2E-4"/>
    <n v="533754"/>
    <n v="6.2013586783424572E-4"/>
    <n v="5.5E-2"/>
    <s v="S"/>
    <s v="R"/>
    <n v="0"/>
    <s v="F2360 HVO"/>
    <s v="9L0CA"/>
    <s v="N"/>
    <n v="1997"/>
    <s v="N"/>
    <n v="-1"/>
    <s v="-"/>
    <s v="# K0403245844, LIC-4405, LINEA REVENTADAS EN LAS 3 FASES Y DAÑO DE ESTRUCTURA DE MADERA,  A CAUSA DE QUEMA DE PASTIZAL, SE REALIZA EL LEVANTAMIENTO D LAS LINEAS Y REMPLASO D ESTRUCTURA EN POZO DE COL PANCHO VILLA // RCHO SIMPRES."/>
  </r>
  <r>
    <s v="DK"/>
    <s v="04"/>
    <s v="I"/>
    <s v="1279"/>
    <n v="2018"/>
    <x v="4"/>
    <x v="1"/>
    <s v="*"/>
    <x v="1"/>
    <x v="0"/>
    <s v="2018.05.14"/>
    <s v="2018.05.15"/>
    <d v="1899-12-30T12:38:00"/>
    <d v="1899-12-30T09:18:00"/>
    <n v="45"/>
    <n v="46"/>
    <x v="160"/>
    <n v="100"/>
    <s v="D-242"/>
    <x v="17"/>
    <s v="DISTRIBUCION"/>
    <s v="RED AEREA"/>
    <m/>
    <n v="57040"/>
    <n v="1240"/>
    <n v="0.106866"/>
    <n v="533754"/>
    <n v="0.10686570967149661"/>
    <n v="0.93"/>
    <s v="S"/>
    <s v="R"/>
    <n v="0"/>
    <s v="LINDA VISTA"/>
    <s v="9L0DA"/>
    <s v="N"/>
    <n v="-1"/>
    <s v="N"/>
    <n v="-1"/>
    <s v="-"/>
    <s v="% LIC-4431,FALLA CONDUCTOR FASE C, DESGASTE OCASIONADO POR FALSO CONTACTO EN CONECTOR, SE REPONE 15 MTS DE CABLE ACSR-266, 2 CONECTORES LV Y 2 MTS DE CABLE AL-ACSR 1/0, SE AISLA FALLA Y SE ENLAZA OCZ-4050 SE CORRIGE EN BARRIO LINDA V,"/>
  </r>
  <r>
    <s v="DK"/>
    <s v="04"/>
    <s v="I"/>
    <s v="1263"/>
    <n v="2018"/>
    <x v="4"/>
    <x v="2"/>
    <s v="G"/>
    <x v="5"/>
    <x v="2"/>
    <s v="2018.05.15"/>
    <s v="2018.05.15"/>
    <d v="1899-12-30T09:36:00"/>
    <d v="1899-12-30T10:59:00"/>
    <n v="40"/>
    <n v="48"/>
    <x v="25"/>
    <n v="0"/>
    <s v="D-228"/>
    <x v="1"/>
    <s v="DISTRIBUCION"/>
    <s v="RED AEREA"/>
    <s v="N"/>
    <n v="3984"/>
    <n v="83"/>
    <n v="7.4640000000000001E-3"/>
    <n v="533754"/>
    <n v="7.4641126811227643E-3"/>
    <n v="5.5E-2"/>
    <s v="S"/>
    <s v="R"/>
    <n v="0"/>
    <s v="F0044-P.A.N3"/>
    <s v="K607R"/>
    <s v="N"/>
    <n v="-1"/>
    <s v="N"/>
    <n v="-1"/>
    <s v="K0403246638"/>
    <s v="% K0403246638, LIC-4452 (1-8/3) FASE B, POR UN PAJARO GOLPEO EN LINEAS DE MT, EN CARRET TUXTLA-CHICOASEN KM 4.5"/>
  </r>
  <r>
    <s v="DK"/>
    <s v="04"/>
    <s v="I"/>
    <s v="1273"/>
    <n v="2018"/>
    <x v="4"/>
    <x v="3"/>
    <s v="*"/>
    <x v="17"/>
    <x v="10"/>
    <s v="2018.05.15"/>
    <s v="2018.05.16"/>
    <d v="1899-12-30T17:56:00"/>
    <d v="1899-12-30T11:40:00"/>
    <n v="25"/>
    <n v="35"/>
    <x v="161"/>
    <n v="100"/>
    <s v="D-228"/>
    <x v="12"/>
    <s v="DISTRIBUCION"/>
    <s v="RED AEREA"/>
    <s v="N"/>
    <n v="37240"/>
    <n v="1064"/>
    <n v="6.9769999999999999E-2"/>
    <n v="533754"/>
    <n v="6.9769968937000937E-2"/>
    <n v="0.443"/>
    <s v="S"/>
    <s v="R"/>
    <n v="0"/>
    <s v="NVO SIMOJOVE"/>
    <s v="9FEA1"/>
    <s v="N"/>
    <n v="-1"/>
    <s v="N"/>
    <n v="-1"/>
    <s v="K0403246885"/>
    <s v="% K0403246885, LIC-4487. (1-10 2) (1-20/39) (1-25/3) FASE A, SE ENCONTRARON SECC ALAMBRADAS A CAUSA DE VANDALISMO EN VARIOS SEC DE LA COL:HERMENEGILDO GALEANA OCZ."/>
  </r>
  <r>
    <s v="DK"/>
    <s v="04"/>
    <s v="I"/>
    <s v="1265"/>
    <n v="2018"/>
    <x v="4"/>
    <x v="2"/>
    <s v="G"/>
    <x v="5"/>
    <x v="7"/>
    <s v="2018.05.15"/>
    <s v="2018.05.15"/>
    <d v="1899-12-30T08:09:00"/>
    <d v="1899-12-30T10:03:00"/>
    <n v="100"/>
    <n v="118"/>
    <x v="162"/>
    <n v="0"/>
    <s v="D-228"/>
    <x v="1"/>
    <s v="DISTRIBUCION"/>
    <s v="RED AEREA"/>
    <s v="N"/>
    <n v="13452"/>
    <n v="114"/>
    <n v="2.5203E-2"/>
    <n v="533754"/>
    <n v="2.5202621432345237E-2"/>
    <n v="0.19"/>
    <s v="S"/>
    <s v="R"/>
    <n v="0"/>
    <s v="F0404-7APONI"/>
    <s v="9DY7X"/>
    <s v="N"/>
    <n v="-1"/>
    <s v="N"/>
    <n v="-1"/>
    <s v="K0403246496"/>
    <s v="% K0403246496, LIC-4439 (1-40/3) FASE A OPERA POR CHOQUE DE AVE CON LA RED DE MT EN 7A NORTE PTE 930  COL.NTE PTE U"/>
  </r>
  <r>
    <s v="DK"/>
    <s v="04"/>
    <s v="I"/>
    <s v="1268"/>
    <n v="2018"/>
    <x v="4"/>
    <x v="1"/>
    <s v="*"/>
    <x v="1"/>
    <x v="0"/>
    <s v="2018.05.15"/>
    <s v="2018.05.15"/>
    <d v="1899-12-30T09:18:00"/>
    <d v="1899-12-30T14:54:00"/>
    <n v="45"/>
    <n v="71"/>
    <x v="160"/>
    <n v="100"/>
    <s v="D-242"/>
    <x v="17"/>
    <s v="DISTRIBUCION"/>
    <s v="RED AEREA"/>
    <s v="N"/>
    <n v="23856"/>
    <n v="336"/>
    <n v="4.4694999999999999E-2"/>
    <n v="533754"/>
    <n v="4.4694747018289321E-2"/>
    <n v="0.252"/>
    <s v="S"/>
    <s v="R"/>
    <n v="0"/>
    <s v="LINDA VISTA"/>
    <s v="9L0DA"/>
    <s v="N"/>
    <n v="-1"/>
    <s v="N"/>
    <n v="-1"/>
    <s v="K0403246624"/>
    <s v="% SCADA EV-20-25 LIC4449, K0403246624, FALLA CONDUCTOR FASE C, DESGASTE OCASIONADO POR FALSO CONTACTO EN CONECTOR, SE REPONE 15 MTS DE CABLE ACSR-266, 2 CONECTORES LV Y 2 MTS DE CABLE AL-ACSR 1/0, SE ENLAZA OCZ 4050, SE AISLA FALLA RAMAL LINDA VISTA"/>
  </r>
  <r>
    <s v="DK"/>
    <s v="04"/>
    <s v="I"/>
    <s v="1281"/>
    <n v="2018"/>
    <x v="4"/>
    <x v="3"/>
    <s v="*"/>
    <x v="14"/>
    <x v="0"/>
    <s v="2018.05.16"/>
    <s v="2018.05.16"/>
    <d v="1899-12-30T08:25:00"/>
    <d v="1899-12-30T10:15:00"/>
    <n v="35"/>
    <n v="157"/>
    <x v="163"/>
    <n v="100"/>
    <s v="D-228"/>
    <x v="1"/>
    <s v="DISTRIBUCION"/>
    <s v="RED AEREA"/>
    <s v="N"/>
    <n v="17270"/>
    <n v="110"/>
    <n v="3.2356000000000003E-2"/>
    <n v="533754"/>
    <n v="3.2355729418421221E-2"/>
    <n v="6.4000000000000001E-2"/>
    <s v="S"/>
    <s v="R"/>
    <n v="0"/>
    <s v="CENTR JIQ 2"/>
    <s v="9FHD0"/>
    <s v="N"/>
    <n v="-1"/>
    <s v="N"/>
    <n v="-1"/>
    <s v="K0403246959"/>
    <s v="% K0403246959, LIC-4483,(1-8/3) FASE B, OPERA  A CAUSA DE UN AVE QUE PEGA EN LA RED DE MT, SE RESTABLECE EN 3A OTE NTE NO. 24 CENTRO DE JIQUIPILAS"/>
  </r>
  <r>
    <s v="DK"/>
    <s v="04"/>
    <s v="I"/>
    <s v="1313"/>
    <n v="2018"/>
    <x v="4"/>
    <x v="1"/>
    <s v="*"/>
    <x v="8"/>
    <x v="3"/>
    <s v="2018.05.17"/>
    <s v="2018.05.17"/>
    <d v="1899-12-30T09:49:00"/>
    <d v="1899-12-30T21:34:00"/>
    <n v="45"/>
    <n v="100"/>
    <x v="65"/>
    <n v="100"/>
    <s v="D-228"/>
    <x v="15"/>
    <s v="DISTRIBUCION"/>
    <s v="RED AEREA"/>
    <s v="N"/>
    <n v="70500"/>
    <n v="705"/>
    <n v="0.13208300000000001"/>
    <n v="533754"/>
    <n v="0.13208331928191638"/>
    <n v="0.52900000000000003"/>
    <s v="S"/>
    <s v="R"/>
    <n v="0"/>
    <s v="16 DE SEP. S"/>
    <s v="9L0D8"/>
    <s v="N"/>
    <n v="-1"/>
    <s v="N"/>
    <n v="-1"/>
    <s v="K0403247950"/>
    <s v="% K0403247950, 4A PTE NTE 13 SAN FDO  LIC-4544 (1-25/3) FASE C, OPERA  POR SOBRECARGA SE RESTABLECE EN 4PTE / 1A Y 2A NTE SAN FERNANDO"/>
  </r>
  <r>
    <s v="DK"/>
    <s v="04"/>
    <s v="I"/>
    <s v="1314"/>
    <n v="2018"/>
    <x v="4"/>
    <x v="3"/>
    <s v="*"/>
    <x v="14"/>
    <x v="4"/>
    <s v="2018.05.17"/>
    <s v="2018.05.17"/>
    <d v="1899-12-30T12:01:00"/>
    <d v="1899-12-30T21:13:00"/>
    <n v="58"/>
    <n v="56"/>
    <x v="164"/>
    <n v="100"/>
    <s v="D-228"/>
    <x v="0"/>
    <s v="DISTRIBUCION"/>
    <s v="RED AEREA"/>
    <s v="N"/>
    <n v="30912"/>
    <n v="552"/>
    <n v="5.7914E-2"/>
    <n v="533754"/>
    <n v="5.7914320080036871E-2"/>
    <n v="0.53400000000000003"/>
    <s v="S"/>
    <s v="R"/>
    <n v="0"/>
    <s v="ZAPATA"/>
    <s v="9MNTB"/>
    <s v="N"/>
    <n v="-1"/>
    <s v="N"/>
    <n v="-1"/>
    <s v="K0403248015"/>
    <s v="% K0403248015, LIC-4536, (1- 8/3) FASE-A , FALLA PROVOCADA POR FALSO CONTACTO EN EL CONECTOR, SE RESTABLECE EN C.C PTE Y 1 NTE COL: EMILIANO ZAPATA"/>
  </r>
  <r>
    <s v="DK"/>
    <s v="04"/>
    <s v="I"/>
    <s v="1294"/>
    <n v="2018"/>
    <x v="4"/>
    <x v="3"/>
    <s v="*"/>
    <x v="14"/>
    <x v="4"/>
    <s v="2018.05.17"/>
    <s v="2018.05.17"/>
    <d v="1899-12-30T13:20:00"/>
    <d v="1899-12-30T15:09:00"/>
    <n v="32"/>
    <n v="23"/>
    <x v="165"/>
    <n v="100"/>
    <s v="D-228"/>
    <x v="1"/>
    <s v="DISTRIBUCION"/>
    <s v="RED AEREA"/>
    <s v="N"/>
    <n v="2507"/>
    <n v="109"/>
    <n v="4.6969999999999998E-3"/>
    <n v="533754"/>
    <n v="4.6969203041101332E-3"/>
    <n v="5.8000000000000003E-2"/>
    <s v="S"/>
    <s v="R"/>
    <n v="0"/>
    <s v="LOS POCITOS"/>
    <s v="9EX4B"/>
    <s v="N"/>
    <n v="-1"/>
    <s v="N"/>
    <n v="-1"/>
    <s v="K0403248076"/>
    <s v="% K0403248076, LIC-4533 (1-10/3), OPERA POR AVE QUE ROMPE DISTANCIA CON UNA DE LAS FASES DE LA RED D MT, SE RESTABLECE EN RANCHO EL TOMATAL COL. EL POCITO"/>
  </r>
  <r>
    <s v="DK"/>
    <s v="04"/>
    <s v="I"/>
    <s v="1302"/>
    <n v="2018"/>
    <x v="4"/>
    <x v="5"/>
    <s v="*"/>
    <x v="20"/>
    <x v="8"/>
    <s v="2018.05.17"/>
    <s v="2018.05.17"/>
    <d v="1899-12-30T08:49:00"/>
    <d v="1899-12-30T10:58:00"/>
    <n v="75"/>
    <n v="39"/>
    <x v="166"/>
    <n v="100"/>
    <s v="D-279"/>
    <x v="13"/>
    <s v="DISTRIBUCION"/>
    <s v="RED AEREA"/>
    <s v="N"/>
    <n v="5031"/>
    <n v="129"/>
    <n v="9.4260000000000004E-3"/>
    <n v="533754"/>
    <n v="9.4256904866286718E-3"/>
    <n v="0.161"/>
    <s v="S"/>
    <s v="R"/>
    <n v="0"/>
    <s v="IXTAPA"/>
    <s v="9DP0K"/>
    <s v="N"/>
    <n v="-1"/>
    <s v="N"/>
    <n v="-1"/>
    <s v="K0403247682"/>
    <s v="% K0403247682 LIC-4516, AISLAMIENTO AVERIADO FASE B, A CAUSA DE DESCARGA ELECTRICA EN LA RED D MT SE REALIZA LA INSTALACION DE AISLAMIENTO EN CENTRAL NTE IXTAPA"/>
  </r>
  <r>
    <s v="DK"/>
    <s v="04"/>
    <s v="I"/>
    <s v="1578"/>
    <n v="2018"/>
    <x v="4"/>
    <x v="2"/>
    <s v="G"/>
    <x v="6"/>
    <x v="16"/>
    <s v="2018.05.17"/>
    <s v="2018.05.17"/>
    <d v="1899-12-30T09:32:00"/>
    <d v="1899-12-30T09:33:00"/>
    <n v="5560"/>
    <m/>
    <x v="9"/>
    <n v="0"/>
    <s v="D-255"/>
    <x v="1"/>
    <s v="DISTRIBUCION"/>
    <s v="RED AEREA"/>
    <m/>
    <m/>
    <n v="1"/>
    <m/>
    <n v="533754"/>
    <m/>
    <n v="9.2999999999999999E-2"/>
    <s v="S"/>
    <s v="T"/>
    <s v="************"/>
    <n v="0"/>
    <s v="J593M"/>
    <s v="N"/>
    <n v="-1"/>
    <s v="N"/>
    <n v="-1"/>
    <s v="-"/>
    <s v="¿ SCADA 51ABN EV-8-9 LIC-4514, CCF DAÑADO Y PUENTE SUELTO EN CRUCETA A CAUSA DE AVE QUE ROMPE DISTANCIA , SE ABRE POR CONTROL D0021, SE CIERRA R0003 SE ENLAZA CON TXN-4030 EN 9A SUR, TUXTLA"/>
  </r>
  <r>
    <s v="DK"/>
    <s v="04"/>
    <s v="I"/>
    <s v="1366"/>
    <n v="2018"/>
    <x v="4"/>
    <x v="2"/>
    <s v="G"/>
    <x v="6"/>
    <x v="16"/>
    <s v="2018.05.17"/>
    <s v="2018.05.17"/>
    <d v="1899-12-30T10:40:00"/>
    <d v="1899-12-30T12:35:00"/>
    <n v="90"/>
    <n v="275"/>
    <x v="167"/>
    <n v="0"/>
    <s v="D-255"/>
    <x v="1"/>
    <s v="DISTRIBUCION"/>
    <s v="RED AEREA"/>
    <s v="N"/>
    <n v="31625"/>
    <n v="115"/>
    <n v="5.9249999999999997E-2"/>
    <n v="533754"/>
    <n v="5.9250141450930577E-2"/>
    <n v="0.17199999999999999"/>
    <s v="S"/>
    <s v="R"/>
    <n v="0"/>
    <s v="F0603-PINO S"/>
    <s v="9DV0E"/>
    <s v="N"/>
    <n v="-1"/>
    <s v="N"/>
    <n v="-1"/>
    <s v="-"/>
    <s v="¿ LIC-4520, K0403247925, CCF DAÑADO Y PUENTE SUELTO EN CRUCETA A CAUSA DE AVE QUE ROMPE DISTANCIA , SE REALIZA EL CAMBIO DE CCF, APARTARRAYOS Y CONECTORES DE LV EN TD 75 KVA 3F, EN 9A SUR, TUXTLA"/>
  </r>
  <r>
    <s v="DK"/>
    <s v="04"/>
    <s v="I"/>
    <s v="1205"/>
    <n v="2018"/>
    <x v="4"/>
    <x v="2"/>
    <s v="G"/>
    <x v="3"/>
    <x v="10"/>
    <s v="2018.05.17"/>
    <s v="2018.05.17"/>
    <d v="1899-12-30T08:32:00"/>
    <d v="1899-12-30T10:10:00"/>
    <n v="59"/>
    <n v="65"/>
    <x v="168"/>
    <n v="0"/>
    <s v="D-228"/>
    <x v="1"/>
    <s v="DISTRIBUCION"/>
    <s v="RED AEREA"/>
    <s v="N"/>
    <n v="6370"/>
    <n v="98"/>
    <n v="1.1934E-2"/>
    <n v="533754"/>
    <n v="1.1934336791855423E-2"/>
    <n v="9.6000000000000002E-2"/>
    <s v="S"/>
    <s v="R"/>
    <n v="0"/>
    <s v="F0682-DELICI"/>
    <s v="9B51C"/>
    <s v="N"/>
    <n v="-1"/>
    <s v="N"/>
    <n v="-1"/>
    <s v="K0403247971"/>
    <s v="% K0403247971 Y K0403247673, LIC-4518 (1-25/3) FASE -B, OPERA POR  PAJARO AL RONPER DISTACIA CON LA RED D MT , SE RESTABLECE EN 12 NTE / 5A Y 6A OTE COL. LAS DELICIAS"/>
  </r>
  <r>
    <s v="DK"/>
    <s v="04"/>
    <s v="I"/>
    <s v="1365"/>
    <n v="2018"/>
    <x v="4"/>
    <x v="2"/>
    <s v="G"/>
    <x v="6"/>
    <x v="16"/>
    <s v="2018.05.17"/>
    <s v="2018.05.17"/>
    <d v="1899-12-30T09:57:00"/>
    <d v="1899-12-30T10:40:00"/>
    <n v="430"/>
    <n v="790"/>
    <x v="9"/>
    <n v="0"/>
    <s v="D-255"/>
    <x v="1"/>
    <s v="DISTRIBUCION"/>
    <s v="RED AEREA"/>
    <m/>
    <n v="33970"/>
    <n v="43"/>
    <n v="6.3644000000000006E-2"/>
    <n v="533754"/>
    <n v="6.3643551149031197E-2"/>
    <n v="0.308"/>
    <s v="S"/>
    <s v="T"/>
    <s v="T0105-GASOLI"/>
    <n v="0"/>
    <s v="9DV0E"/>
    <s v="N"/>
    <n v="-1"/>
    <s v="N"/>
    <n v="-1"/>
    <s v="-"/>
    <s v="¿ LIC-4514, CCF DAÑADO Y PUENTE SUELTO EN CRUCETA A CAUSA DE AVE QUE ROMPE DISTANCIA , SE RETIRA CONECTORES DE LV EN SECC F0603  Y SE CIERRA POR CONTROL D0021, SE ABRE R0003 ENLACE CON TXN-4030 EN 9A SUR, TUXTLA"/>
  </r>
  <r>
    <s v="DK"/>
    <s v="04"/>
    <s v="I"/>
    <s v="1364"/>
    <n v="2018"/>
    <x v="4"/>
    <x v="2"/>
    <s v="G"/>
    <x v="6"/>
    <x v="16"/>
    <s v="2018.05.17"/>
    <s v="2018.05.17"/>
    <d v="1899-12-30T09:33:00"/>
    <d v="1899-12-30T09:57:00"/>
    <n v="995"/>
    <n v="2348"/>
    <x v="9"/>
    <n v="0"/>
    <s v="D-255"/>
    <x v="1"/>
    <s v="DISTRIBUCION"/>
    <s v="RED AEREA"/>
    <m/>
    <n v="56352"/>
    <n v="24"/>
    <n v="0.105577"/>
    <n v="533754"/>
    <n v="0.10557672635708584"/>
    <n v="0.39800000000000002"/>
    <s v="S"/>
    <s v="T"/>
    <n v="4100"/>
    <n v="0"/>
    <s v="9DV0E"/>
    <s v="N"/>
    <n v="-1"/>
    <s v="N"/>
    <n v="-1"/>
    <s v="-"/>
    <s v="¿ SCADA 51ABN EV-8-9 LIC-4514, CCF DAÑADO Y PUENTE SUELTO EN CRUCETA A CAUSA DE AVE QUE ROMPE DISTANCIA , SE ABRE POR CONTROL D0021, SE CIERRA R0003 SE ENLAZA CON TXN-4030 EN 9A SUR, TUXTLA"/>
  </r>
  <r>
    <s v="DK"/>
    <s v="04"/>
    <s v="I"/>
    <s v="1317"/>
    <n v="2018"/>
    <x v="4"/>
    <x v="2"/>
    <s v="G"/>
    <x v="6"/>
    <x v="5"/>
    <s v="2018.05.18"/>
    <s v="2018.05.18"/>
    <d v="1899-12-30T17:37:00"/>
    <d v="1899-12-30T19:48:00"/>
    <n v="95"/>
    <n v="65"/>
    <x v="169"/>
    <n v="0"/>
    <s v="D-228"/>
    <x v="0"/>
    <s v="DISTRIBUCION"/>
    <s v="RED AEREA"/>
    <s v="N"/>
    <n v="8515"/>
    <n v="131"/>
    <n v="1.5952999999999998E-2"/>
    <n v="533754"/>
    <n v="1.5953042038092453E-2"/>
    <n v="0.20699999999999999"/>
    <s v="S"/>
    <s v="R"/>
    <n v="0"/>
    <s v="F0573-COQUEL"/>
    <s v="9FB76"/>
    <s v="N"/>
    <n v="-1"/>
    <s v="N"/>
    <n v="-1"/>
    <s v="K0403248676"/>
    <s v="% K0403248676, LIC-4587 (2-8/3) FASE A Y B , OPERA A CAUSA DE UN FALSO CONTACTO EN CONECTOR, SE RESTABLECE EN C ZIQUETE 106, AV. LAURELES Y MISION COL:COQUELEQUIXTAN"/>
  </r>
  <r>
    <s v="DK"/>
    <s v="04"/>
    <s v="I"/>
    <s v="1320"/>
    <n v="2018"/>
    <x v="4"/>
    <x v="1"/>
    <s v="*"/>
    <x v="8"/>
    <x v="3"/>
    <s v="2018.05.19"/>
    <s v="2018.05.19"/>
    <d v="1899-12-30T09:35:00"/>
    <d v="1899-12-30T11:14:00"/>
    <n v="55"/>
    <n v="54"/>
    <x v="13"/>
    <n v="100"/>
    <s v="D-228"/>
    <x v="0"/>
    <s v="DISTRIBUCION"/>
    <s v="RED AEREA"/>
    <s v="N"/>
    <n v="5346"/>
    <n v="99"/>
    <n v="1.0016000000000001E-2"/>
    <n v="533754"/>
    <n v="1.0015849998313829E-2"/>
    <n v="9.0999999999999998E-2"/>
    <s v="S"/>
    <s v="R"/>
    <n v="0"/>
    <s v="LIMONES"/>
    <s v="9M933"/>
    <s v="N"/>
    <n v="-1"/>
    <s v="N"/>
    <n v="-1"/>
    <s v="K0403248725"/>
    <s v="% K0403248725, LIC-4597 (1-20/3), OPERA POR FALSO CONTACTO CANILLA EN PRIV FLANBOYANT MZ1 LT6 CP.291, PRINCIPAL RIBERA LOS LIMONES  XM 56"/>
  </r>
  <r>
    <s v="DK"/>
    <s v="04"/>
    <s v="I"/>
    <s v="1322"/>
    <n v="2018"/>
    <x v="4"/>
    <x v="2"/>
    <s v="G"/>
    <x v="6"/>
    <x v="2"/>
    <s v="2018.05.19"/>
    <s v="2018.05.19"/>
    <d v="1899-12-30T02:32:00"/>
    <d v="1899-12-30T13:23:00"/>
    <n v="120"/>
    <n v="36"/>
    <x v="170"/>
    <n v="0"/>
    <s v="D-228"/>
    <x v="0"/>
    <s v="DISTRIBUCION"/>
    <s v="RED AEREA"/>
    <s v="N"/>
    <n v="23436"/>
    <n v="651"/>
    <n v="4.3908000000000003E-2"/>
    <n v="533754"/>
    <n v="4.390786766937578E-2"/>
    <n v="1.302"/>
    <s v="S"/>
    <s v="R"/>
    <n v="0"/>
    <s v="F0288-PEÑITA"/>
    <s v="9DY7V"/>
    <s v="N"/>
    <n v="-1"/>
    <s v="N"/>
    <n v="-1"/>
    <s v="K0403248715"/>
    <s v="% K0403248715, LIC-4602, (1-10/3) Y (1-25/3) OPERA POR FALSO CONTACTO EN TERMINAL DE CONECTOR, SE RESTABLECE EN AV PALMA PARAISO, CAMP LAS PALMAS U"/>
  </r>
  <r>
    <s v="DK"/>
    <s v="04"/>
    <s v="I"/>
    <s v="1338"/>
    <n v="2018"/>
    <x v="4"/>
    <x v="0"/>
    <s v="*"/>
    <x v="9"/>
    <x v="3"/>
    <s v="2018.05.20"/>
    <s v="2018.05.20"/>
    <d v="1899-12-30T14:14:00"/>
    <d v="1899-12-30T20:50:00"/>
    <n v="5"/>
    <n v="15"/>
    <x v="171"/>
    <n v="100"/>
    <s v="D-228"/>
    <x v="0"/>
    <s v="DISTRIBUCION"/>
    <s v="RED AEREA"/>
    <s v="N"/>
    <n v="5940"/>
    <n v="396"/>
    <n v="1.1129E-2"/>
    <n v="533754"/>
    <n v="1.11287222203487E-2"/>
    <n v="3.3000000000000002E-2"/>
    <s v="S"/>
    <s v="R"/>
    <n v="0"/>
    <s v="F2449-VALLE"/>
    <s v="9FRLT"/>
    <s v="N"/>
    <n v="-1"/>
    <s v="N"/>
    <n v="-1"/>
    <s v="K0403248851"/>
    <s v="% K0403248851, LIC-4649 (2-15/3) (1-1/3) EN TD 25 KVA YT, OPERA POR FALSO CONTACTO EN TERMINALES DEL CONECTOR, SE RESTABLECE CON 6 MTS D ACSR 1 0 EN AG EJIDO URSULO GALVAN"/>
  </r>
  <r>
    <s v="DK"/>
    <s v="04"/>
    <s v="I"/>
    <s v="1324"/>
    <n v="2018"/>
    <x v="4"/>
    <x v="5"/>
    <s v="*"/>
    <x v="20"/>
    <x v="8"/>
    <s v="2018.05.20"/>
    <s v="2018.05.20"/>
    <d v="1899-12-30T10:41:00"/>
    <d v="1899-12-30T11:41:00"/>
    <n v="45"/>
    <n v="36"/>
    <x v="172"/>
    <n v="100"/>
    <s v="D-279"/>
    <x v="13"/>
    <s v="DISTRIBUCION"/>
    <s v="RED AEREA"/>
    <s v="N"/>
    <n v="2160"/>
    <n v="60"/>
    <n v="4.0470000000000002E-3"/>
    <n v="533754"/>
    <n v="4.0468080801268E-3"/>
    <n v="4.4999999999999998E-2"/>
    <s v="S"/>
    <s v="R"/>
    <n v="0"/>
    <s v="F2863IGLESIA"/>
    <s v="9FKFE"/>
    <s v="N"/>
    <n v="-1"/>
    <s v="N"/>
    <n v="-1"/>
    <s v="K0403248831"/>
    <s v="% K0403248831, LIC:4628, (2-25/3) Y (2-15/3); OPERA POR DESCARGA ATMOSFERICA SOBRE LA LINEA DE MT, SE RESTABLECE EN COL IGLESIA VIEJA."/>
  </r>
  <r>
    <s v="DK"/>
    <s v="04"/>
    <s v="I"/>
    <s v="1333"/>
    <n v="2018"/>
    <x v="4"/>
    <x v="2"/>
    <s v="G"/>
    <x v="12"/>
    <x v="1"/>
    <s v="2018.05.20"/>
    <s v="2018.05.20"/>
    <d v="1899-12-30T12:18:00"/>
    <d v="1899-12-30T14:25:00"/>
    <n v="60"/>
    <n v="130"/>
    <x v="173"/>
    <n v="0"/>
    <s v="D-228"/>
    <x v="6"/>
    <s v="DISTRIBUCION"/>
    <s v="RED AEREA"/>
    <s v="N"/>
    <n v="16510"/>
    <n v="127"/>
    <n v="3.0932000000000001E-2"/>
    <n v="533754"/>
    <n v="3.093185250133957E-2"/>
    <n v="0.127"/>
    <s v="S"/>
    <s v="R"/>
    <n v="0"/>
    <s v="F0842"/>
    <s v="QU169"/>
    <s v="N"/>
    <n v="-1"/>
    <s v="N"/>
    <n v="-1"/>
    <s v="K0403248839"/>
    <s v="% K0403248839 LIC-4637 (1-65/3) OPERA POR SOBRECRGA EN CCF, SE RESTABLECE EN CARR A EMILIANO ZAPATA N 3840"/>
  </r>
  <r>
    <s v="DK"/>
    <s v="04"/>
    <s v="I"/>
    <s v="1360"/>
    <n v="2018"/>
    <x v="4"/>
    <x v="1"/>
    <s v="*"/>
    <x v="4"/>
    <x v="3"/>
    <s v="2018.05.21"/>
    <s v="2018.05.21"/>
    <d v="1899-12-30T10:29:00"/>
    <d v="1899-12-30T18:50:00"/>
    <n v="40"/>
    <n v="34"/>
    <x v="174"/>
    <n v="100"/>
    <s v="D-228"/>
    <x v="1"/>
    <s v="DISTRIBUCION"/>
    <s v="RED AEREA"/>
    <s v="N"/>
    <n v="17034"/>
    <n v="501"/>
    <n v="3.1913999999999998E-2"/>
    <n v="533754"/>
    <n v="3.1913578165222181E-2"/>
    <n v="0.33400000000000002"/>
    <s v="S"/>
    <s v="R"/>
    <n v="0"/>
    <s v="CUPASMI"/>
    <s v="9L0D8"/>
    <s v="N"/>
    <n v="-1"/>
    <s v="N"/>
    <n v="-1"/>
    <s v="K0403248993"/>
    <s v="% K0403248993, LIC-4700, (1-12/3) FASE A EN SECC PAJARO ROMPE DISTANCIA CON PUENTE DE MT DE UN TD 15 KVA CONV, SE RESTABLECE EN EL JICAMAL Y CUPASMIN"/>
  </r>
  <r>
    <s v="DK"/>
    <s v="04"/>
    <s v="I"/>
    <s v="1344"/>
    <n v="2018"/>
    <x v="4"/>
    <x v="0"/>
    <s v="*"/>
    <x v="9"/>
    <x v="4"/>
    <s v="2018.05.21"/>
    <s v="2018.05.21"/>
    <d v="1899-12-30T07:52:00"/>
    <d v="1899-12-30T11:05:00"/>
    <n v="65"/>
    <n v="75"/>
    <x v="147"/>
    <n v="100"/>
    <s v="D-228"/>
    <x v="0"/>
    <s v="DISTRIBUCION"/>
    <s v="RED AEREA"/>
    <s v="N"/>
    <n v="14475"/>
    <n v="193"/>
    <n v="2.7119000000000001E-2"/>
    <n v="533754"/>
    <n v="2.7119234703627513E-2"/>
    <n v="0.20899999999999999"/>
    <s v="S"/>
    <s v="R"/>
    <n v="0"/>
    <s v="F2520-PROGRE"/>
    <s v="9B4YM"/>
    <s v="N"/>
    <n v="-1"/>
    <s v="N"/>
    <n v="-1"/>
    <s v="K0403248910"/>
    <s v="4.- K0403248910, LIC-4667 (1-40/3) EN FASE C, OPERA POR FALSO CONTACTO EN CONECTORES, SE RESTABLECE EN GRANJA O M C PANTEON DE LA GARZA"/>
  </r>
  <r>
    <s v="DK"/>
    <s v="04"/>
    <s v="I"/>
    <s v="1343"/>
    <n v="2018"/>
    <x v="4"/>
    <x v="2"/>
    <s v="G"/>
    <x v="3"/>
    <x v="2"/>
    <s v="2018.05.21"/>
    <s v="2018.05.21"/>
    <d v="1899-12-30T08:55:00"/>
    <d v="1899-12-30T11:13:00"/>
    <n v="80"/>
    <n v="75"/>
    <x v="175"/>
    <n v="0"/>
    <s v="D-228"/>
    <x v="1"/>
    <s v="DISTRIBUCION"/>
    <s v="RED AEREA"/>
    <s v="N"/>
    <n v="10350"/>
    <n v="138"/>
    <n v="1.9390999999999999E-2"/>
    <n v="533754"/>
    <n v="1.9390955383940915E-2"/>
    <n v="0.184"/>
    <s v="S"/>
    <s v="R"/>
    <n v="0"/>
    <s v="F0647-13MAY"/>
    <s v="9DY7X"/>
    <s v="N"/>
    <n v="-1"/>
    <s v="N"/>
    <n v="-1"/>
    <s v="K0403248927"/>
    <s v="% K0403248927, LIC-4671 (1-25/3) FASE A , OPERA POR PAJARO GOLPEO EN LOS PUENTES DEL TRANSF, SE RESTABLECE EN AND 16 DE SEPT.  MZ 2 LT 5"/>
  </r>
  <r>
    <s v="DK"/>
    <s v="04"/>
    <s v="I"/>
    <s v="1347"/>
    <n v="2018"/>
    <x v="4"/>
    <x v="1"/>
    <s v="*"/>
    <x v="12"/>
    <x v="18"/>
    <s v="2018.05.21"/>
    <s v="2018.05.21"/>
    <d v="1899-12-30T08:36:00"/>
    <d v="1899-12-30T14:00:00"/>
    <n v="73"/>
    <n v="66"/>
    <x v="176"/>
    <n v="100"/>
    <s v="D-279"/>
    <x v="13"/>
    <s v="DISTRIBUCION"/>
    <s v="RED AEREA"/>
    <s v="N"/>
    <n v="21384"/>
    <n v="324"/>
    <n v="4.0063000000000001E-2"/>
    <n v="533754"/>
    <n v="4.0063399993255318E-2"/>
    <n v="0.39400000000000002"/>
    <s v="S"/>
    <s v="R"/>
    <n v="0"/>
    <s v="3A SUR 1PTE"/>
    <s v="9L0D8"/>
    <s v="N"/>
    <n v="-1"/>
    <s v="N"/>
    <n v="-1"/>
    <s v="K0403248920"/>
    <s v="% K0403248920, LIC-4685 (1-8/3) OPERA POR CAUSA  DESCARGA  ATMOSFERICA , SE RESTABLECE EN 4A PTE SUR BARRIO 18 MARZO"/>
  </r>
  <r>
    <s v="DK"/>
    <s v="04"/>
    <s v="I"/>
    <s v="1351"/>
    <n v="2018"/>
    <x v="4"/>
    <x v="3"/>
    <s v="*"/>
    <x v="17"/>
    <x v="0"/>
    <s v="2018.05.21"/>
    <s v="2018.05.21"/>
    <d v="1899-12-30T12:07:00"/>
    <d v="1899-12-30T15:13:00"/>
    <n v="34"/>
    <n v="63"/>
    <x v="177"/>
    <n v="100"/>
    <s v="D-228"/>
    <x v="6"/>
    <s v="DISTRIBUCION"/>
    <s v="RED AEREA"/>
    <s v="N"/>
    <n v="11718"/>
    <n v="186"/>
    <n v="2.1954000000000001E-2"/>
    <n v="533754"/>
    <n v="2.195393383468789E-2"/>
    <n v="0.105"/>
    <s v="S"/>
    <s v="R"/>
    <n v="0"/>
    <s v="F_CTHIEL_3D"/>
    <s v="9FD9J"/>
    <s v="N"/>
    <n v="-1"/>
    <s v="N"/>
    <n v="-1"/>
    <s v="K0403249134"/>
    <s v="% K0403249168, LIC-4689, (1-25/3) SECC, OPERO POR CARGA FUSIBLE INADECUADO, SE RESTABLECE EN KM 21 CARRET OCOZ VILLAFLORES  RANCHO LAUREL"/>
  </r>
  <r>
    <s v="DK"/>
    <s v="04"/>
    <s v="I"/>
    <s v="1389"/>
    <n v="2018"/>
    <x v="4"/>
    <x v="1"/>
    <s v="*"/>
    <x v="4"/>
    <x v="3"/>
    <s v="2018.05.21"/>
    <s v="2018.05.22"/>
    <d v="1899-12-30T19:41:00"/>
    <d v="1899-12-30T13:40:00"/>
    <n v="40"/>
    <n v="34"/>
    <x v="174"/>
    <n v="100"/>
    <s v="D-242"/>
    <x v="18"/>
    <s v="DISTRIBUCION"/>
    <s v="RED AEREA"/>
    <s v="N"/>
    <n v="36686"/>
    <n v="1079"/>
    <n v="6.8732000000000001E-2"/>
    <n v="533754"/>
    <n v="6.8732037605338789E-2"/>
    <n v="0.71899999999999997"/>
    <s v="S"/>
    <s v="R"/>
    <n v="0"/>
    <s v="CUPASMI"/>
    <s v="9B57L"/>
    <s v="N"/>
    <n v="-1"/>
    <s v="N"/>
    <n v="-1"/>
    <s v="-"/>
    <s v="% LIC 4704 Y 4742, (1-12/3) LINEA ROTA, DESCARGAS ATMOSFERICAS, SE LEVANTA LINEA, CONDUCTOR ACSR 3/0, RIBERA CUPASMI"/>
  </r>
  <r>
    <s v="DK"/>
    <s v="04"/>
    <s v="I"/>
    <s v="1359"/>
    <n v="2018"/>
    <x v="4"/>
    <x v="1"/>
    <s v="*"/>
    <x v="4"/>
    <x v="3"/>
    <s v="2018.05.21"/>
    <s v="2018.05.21"/>
    <d v="1899-12-30T11:40:00"/>
    <d v="1899-12-30T17:58:00"/>
    <n v="40"/>
    <n v="34"/>
    <x v="178"/>
    <n v="100"/>
    <s v="D-228"/>
    <x v="1"/>
    <s v="DISTRIBUCION"/>
    <s v="RED AEREA"/>
    <s v="N"/>
    <n v="12852"/>
    <n v="378"/>
    <n v="2.4079E-2"/>
    <n v="533754"/>
    <n v="2.4078508076754459E-2"/>
    <n v="0.252"/>
    <s v="S"/>
    <s v="R"/>
    <n v="0"/>
    <s v="AMATAL"/>
    <s v="9L0D8"/>
    <s v="N"/>
    <n v="-1"/>
    <s v="N"/>
    <n v="-1"/>
    <s v="K0403249154"/>
    <s v="% K0403249154, LIC-4697 (1-12/3) EN SECCIONADORA. CAUSA DE PAJARO ROMPE DISTANCIA CON EL PUENTE DE MT, SE RESTABLECE EN CALLE PRINCIPAL Y DEL PTE COL: RIBERA EL AMATAL"/>
  </r>
  <r>
    <s v="DK"/>
    <s v="04"/>
    <s v="I"/>
    <s v="1370"/>
    <n v="2018"/>
    <x v="4"/>
    <x v="2"/>
    <s v="G"/>
    <x v="6"/>
    <x v="7"/>
    <s v="2018.05.22"/>
    <s v="2018.05.22"/>
    <d v="1899-12-30T13:12:00"/>
    <d v="1899-12-30T14:45:00"/>
    <n v="160"/>
    <n v="145"/>
    <x v="99"/>
    <n v="0"/>
    <s v="D-228"/>
    <x v="1"/>
    <s v="DISTRIBUCION"/>
    <s v="RED AEREA"/>
    <s v="N"/>
    <n v="13485"/>
    <n v="93"/>
    <n v="2.5264000000000002E-2"/>
    <n v="533754"/>
    <n v="2.526444766690273E-2"/>
    <n v="0.248"/>
    <s v="S"/>
    <s v="R"/>
    <n v="0"/>
    <s v="F0535-CTHIE1"/>
    <s v="9DY7X"/>
    <s v="N"/>
    <n v="-1"/>
    <s v="N"/>
    <n v="-1"/>
    <s v="K0403249773"/>
    <s v="% K0403249773, LIC-4754 (1-40/3) FASE A, OPERA POR AVE QUE PIERDE DISTANCIA CON LA RED DE MT, SE RESTABLECE EN LIBRAMIENTO SUR ORIENTE COL CASTILLO TIELEMANS"/>
  </r>
  <r>
    <s v="DK"/>
    <s v="04"/>
    <s v="I"/>
    <s v="1398"/>
    <n v="2018"/>
    <x v="4"/>
    <x v="3"/>
    <s v="*"/>
    <x v="7"/>
    <x v="12"/>
    <s v="2018.05.22"/>
    <s v="2018.05.23"/>
    <d v="1899-12-30T16:45:00"/>
    <d v="1899-12-30T19:35:00"/>
    <n v="10"/>
    <n v="1"/>
    <x v="179"/>
    <n v="100"/>
    <s v="D-228"/>
    <x v="1"/>
    <s v="DISTRIBUCION"/>
    <s v="RED AEREA"/>
    <s v="N"/>
    <n v="1610"/>
    <n v="1610"/>
    <n v="3.016E-3"/>
    <n v="533754"/>
    <n v="3.0163708375019202E-3"/>
    <n v="0.26800000000000002"/>
    <s v="S"/>
    <s v="R"/>
    <n v="0"/>
    <s v="TILTEPEC 2"/>
    <s v="9MNT4"/>
    <s v="N"/>
    <n v="-1"/>
    <s v="N"/>
    <n v="-1"/>
    <s v="K0403249896"/>
    <s v="% K0403249896, LIC-4812 (1-8/3). EN SECCIONADORA A CAUSA D AVE PEGA EN EL PUENTE DE MT, SE RESTABLECE EN RANCHO EL MIRADOR COL: TILTEPEC, SISTEMA DE RIEGO AGRICOLA, USUARIO REPORTA COMO UN SOLO USUARIO."/>
  </r>
  <r>
    <s v="DK"/>
    <s v="04"/>
    <s v="I"/>
    <s v="1387"/>
    <n v="2018"/>
    <x v="4"/>
    <x v="3"/>
    <s v="*"/>
    <x v="17"/>
    <x v="10"/>
    <s v="2018.05.22"/>
    <s v="2018.05.22"/>
    <d v="1899-12-30T16:50:00"/>
    <d v="1899-12-30T20:30:00"/>
    <n v="75"/>
    <n v="85"/>
    <x v="180"/>
    <n v="100"/>
    <s v="D-228"/>
    <x v="7"/>
    <s v="DISTRIBUCION"/>
    <s v="RED AEREA"/>
    <s v="N"/>
    <n v="18700"/>
    <n v="220"/>
    <n v="3.5034999999999997E-2"/>
    <n v="533754"/>
    <n v="3.5034866249245906E-2"/>
    <n v="0.27500000000000002"/>
    <s v="S"/>
    <s v="R"/>
    <n v="0"/>
    <s v="OJO DE AGUA"/>
    <s v="9L0AR"/>
    <s v="N"/>
    <n v="-1"/>
    <s v="N"/>
    <n v="-1"/>
    <s v="K0403249900"/>
    <s v="4.-K0403249900 LIC.-4764, (1F/10A-R3) RAMAS SOBRE LA LINEA, POR FUERTES VIENTOS, ORIGINADOS POR CANAL DE BAJA PRESION, SE RETIRA RAMAS DE LA LINEAS, ENTRADA COLONIA OJO DE AGUA (RAMAL GALEANA)"/>
  </r>
  <r>
    <s v="DK"/>
    <s v="04"/>
    <s v="I"/>
    <s v="1377"/>
    <n v="2018"/>
    <x v="4"/>
    <x v="3"/>
    <s v="*"/>
    <x v="14"/>
    <x v="3"/>
    <s v="2018.05.22"/>
    <s v="2018.05.22"/>
    <d v="1899-12-30T08:26:00"/>
    <d v="1899-12-30T09:35:00"/>
    <n v="32"/>
    <n v="12"/>
    <x v="181"/>
    <n v="100"/>
    <s v="D-228"/>
    <x v="1"/>
    <s v="DISTRIBUCION"/>
    <s v="RED AEREA"/>
    <s v="N"/>
    <n v="828"/>
    <n v="69"/>
    <n v="1.5510000000000001E-3"/>
    <n v="533754"/>
    <n v="1.5512764307152734E-3"/>
    <n v="3.6999999999999998E-2"/>
    <s v="S"/>
    <s v="R"/>
    <n v="0"/>
    <s v="CACAHUATERA"/>
    <s v="9FHD0"/>
    <s v="N"/>
    <n v="-1"/>
    <s v="N"/>
    <n v="-1"/>
    <s v="-"/>
    <s v="% K0403249494, LIC-4728 FASE B, (1-15/3), OPERA A CAUSA DE CHOQUE DE AVE CON LA RED DE MT, SE RESTABLECE EN CARR PANAM KM 93-250 LAS FLORES"/>
  </r>
  <r>
    <s v="DK"/>
    <s v="04"/>
    <s v="I"/>
    <s v="1406"/>
    <n v="2018"/>
    <x v="4"/>
    <x v="1"/>
    <s v="*"/>
    <x v="4"/>
    <x v="3"/>
    <s v="2018.05.23"/>
    <s v="2018.05.23"/>
    <d v="1899-12-30T10:28:00"/>
    <d v="1899-12-30T20:30:00"/>
    <n v="49"/>
    <n v="43"/>
    <x v="182"/>
    <n v="100"/>
    <s v="D-228"/>
    <x v="1"/>
    <s v="DISTRIBUCION"/>
    <s v="RED AEREA"/>
    <s v="N"/>
    <n v="25886"/>
    <n v="602"/>
    <n v="4.8497999999999999E-2"/>
    <n v="533754"/>
    <n v="4.8497997204704789E-2"/>
    <n v="0.49199999999999999"/>
    <s v="S"/>
    <s v="R"/>
    <n v="0"/>
    <s v="MONTERRICO"/>
    <s v="9M933"/>
    <s v="N"/>
    <n v="-1"/>
    <s v="N"/>
    <n v="-1"/>
    <s v="K0403250252"/>
    <s v="% K0403250252, LIC-4813 (1-8/3) Y (1-2/3) CAUSA ARDILLA PEGA EL PUENTE DE MT, SE RESTABLECE EN RIBERA DE MONTERRICO, CHIAPA DE CORZO"/>
  </r>
  <r>
    <s v="DK"/>
    <s v="04"/>
    <s v="I"/>
    <s v="1400"/>
    <n v="2018"/>
    <x v="4"/>
    <x v="3"/>
    <s v="*"/>
    <x v="7"/>
    <x v="6"/>
    <s v="2018.05.24"/>
    <s v="2018.05.24"/>
    <d v="1899-12-30T08:34:00"/>
    <d v="1899-12-30T13:51:00"/>
    <n v="62"/>
    <n v="49"/>
    <x v="183"/>
    <n v="100"/>
    <s v="D-279"/>
    <x v="13"/>
    <s v="DISTRIBUCION"/>
    <s v="RED AEREA"/>
    <s v="N"/>
    <n v="15533"/>
    <n v="317"/>
    <n v="2.9100999999999998E-2"/>
    <n v="533754"/>
    <n v="2.9101421253985918E-2"/>
    <n v="0.32800000000000001"/>
    <s v="S"/>
    <s v="R"/>
    <n v="0"/>
    <s v="TEHUACAN"/>
    <s v="9EX4B"/>
    <s v="N"/>
    <n v="-1"/>
    <s v="N"/>
    <n v="-1"/>
    <s v="K0403250820"/>
    <s v="% K0403250820, LIC-4843 (1-12/3) FASE A, OPERA  A CAUSA DE DESCARGAS ATMOSFERICAS SOBRE LA RED DE MT, SE RESTABLECE EN COL TEHUACAN CIT"/>
  </r>
  <r>
    <s v="DK"/>
    <s v="04"/>
    <s v="I"/>
    <s v="1411"/>
    <n v="2018"/>
    <x v="4"/>
    <x v="2"/>
    <s v="G"/>
    <x v="1"/>
    <x v="20"/>
    <s v="2018.05.24"/>
    <s v="2018.05.24"/>
    <d v="1899-12-30T19:44:00"/>
    <d v="1899-12-30T20:58:00"/>
    <n v="54"/>
    <n v="99"/>
    <x v="184"/>
    <n v="0"/>
    <s v="D-228"/>
    <x v="0"/>
    <s v="DISTRIBUCION"/>
    <s v="RED AEREA"/>
    <s v="N"/>
    <n v="7326"/>
    <n v="74"/>
    <n v="1.3724999999999999E-2"/>
    <n v="533754"/>
    <n v="1.3725424071763397E-2"/>
    <n v="6.7000000000000004E-2"/>
    <s v="S"/>
    <s v="R"/>
    <n v="0"/>
    <s v="F0862"/>
    <s v="9FD91"/>
    <s v="N"/>
    <n v="-1"/>
    <s v="N"/>
    <n v="-1"/>
    <s v="K0403251382"/>
    <s v="% K0403251382, LIC-4853, (1-25/3) FASE C, OPERA A CAUSA DE FALSO CONTACTO EN CONECTOR SE RESTABLECE EN COL JUAN CRISPIN"/>
  </r>
  <r>
    <s v="DK"/>
    <s v="04"/>
    <s v="I"/>
    <s v="1399"/>
    <n v="2018"/>
    <x v="4"/>
    <x v="1"/>
    <s v="*"/>
    <x v="8"/>
    <x v="3"/>
    <s v="2018.05.24"/>
    <s v="2018.05.25"/>
    <d v="1899-12-30T21:42:00"/>
    <d v="1899-12-30T17:27:00"/>
    <n v="65"/>
    <n v="27"/>
    <x v="185"/>
    <n v="100"/>
    <s v="D-233"/>
    <x v="0"/>
    <s v="DISTRIBUCION"/>
    <s v="RED AEREA"/>
    <s v="N"/>
    <n v="31995"/>
    <n v="1185"/>
    <n v="5.9943000000000003E-2"/>
    <n v="533754"/>
    <n v="5.9943344686878224E-2"/>
    <n v="1.284"/>
    <s v="S"/>
    <s v="R"/>
    <n v="0"/>
    <s v="F3319A"/>
    <s v="9L0D8"/>
    <s v="N"/>
    <n v="-1"/>
    <s v="N"/>
    <n v="-1"/>
    <s v="-"/>
    <s v="% K0403251414, LIC.4885; 1/10-3;  POR FALSO CONTACTO ARGOLLA RECIBIDOR DEL CCF, SE RESTABLECE FUSIBLE EN CALZADA HIDALGO RIB FRANCISCO I MADERO, MPIO. SAN FERNANDO."/>
  </r>
  <r>
    <s v="DK"/>
    <s v="04"/>
    <s v="I"/>
    <s v="1413"/>
    <n v="2018"/>
    <x v="4"/>
    <x v="0"/>
    <s v="*"/>
    <x v="19"/>
    <x v="3"/>
    <s v="2018.05.25"/>
    <s v="2018.05.25"/>
    <d v="1899-12-30T08:09:00"/>
    <d v="1899-12-30T12:29:00"/>
    <n v="8"/>
    <n v="36"/>
    <x v="186"/>
    <n v="100"/>
    <s v="D-228"/>
    <x v="1"/>
    <s v="DISTRIBUCION"/>
    <s v="RED AEREA"/>
    <s v="N"/>
    <n v="9360"/>
    <n v="260"/>
    <n v="1.7536E-2"/>
    <n v="533754"/>
    <n v="1.7536168347216132E-2"/>
    <n v="3.5000000000000003E-2"/>
    <s v="S"/>
    <s v="R"/>
    <n v="0"/>
    <s v="F2246-SAN RA"/>
    <s v="9MNTH"/>
    <s v="N"/>
    <n v="-1"/>
    <s v="N"/>
    <n v="-1"/>
    <s v="K0403251446"/>
    <s v="% K0403251446, LIC-4879 (1-25/3) FASE C, OPERA  A CAUSA DE AVE QUE PEGA EN PUENTES DE LA MT, SE RESTABLECE EN AV 1A SUR OTE ANGEL ALBINO JALTENAGO"/>
  </r>
  <r>
    <s v="DK"/>
    <s v="04"/>
    <s v="I"/>
    <s v="1409"/>
    <n v="2018"/>
    <x v="4"/>
    <x v="2"/>
    <s v="G"/>
    <x v="5"/>
    <x v="14"/>
    <s v="2018.05.25"/>
    <s v="2018.05.25"/>
    <d v="1899-12-30T09:08:00"/>
    <d v="1899-12-30T09:59:00"/>
    <n v="130"/>
    <n v="47"/>
    <x v="187"/>
    <n v="0"/>
    <s v="D-228"/>
    <x v="1"/>
    <s v="DISTRIBUCION"/>
    <s v="RED AEREA"/>
    <s v="N"/>
    <n v="2397"/>
    <n v="51"/>
    <n v="4.4910000000000002E-3"/>
    <n v="533754"/>
    <n v="4.4908328555851576E-3"/>
    <n v="0.111"/>
    <s v="S"/>
    <s v="R"/>
    <n v="0"/>
    <s v="BRISAS 2"/>
    <s v="9DY7X"/>
    <s v="N"/>
    <n v="-1"/>
    <s v="N"/>
    <n v="-1"/>
    <s v="K0403251468"/>
    <s v="% K0403251468, LIC-4868 (1-12/3) Y (2-5/3) OPERA A CAUSA DE PALOMA QUE ROMPE DISTANCIA CON LA LINEA DE MT, SE RESTABLECE EN AV. AIRE AGUA 8.COL BRISAS"/>
  </r>
  <r>
    <s v="DK"/>
    <s v="04"/>
    <s v="I"/>
    <s v="1502"/>
    <n v="2018"/>
    <x v="4"/>
    <x v="2"/>
    <s v="G"/>
    <x v="1"/>
    <x v="2"/>
    <s v="2018.05.27"/>
    <s v="2018.05.27"/>
    <d v="1899-12-30T08:34:00"/>
    <d v="1899-12-30T11:42:00"/>
    <n v="233"/>
    <n v="166"/>
    <x v="188"/>
    <n v="0"/>
    <s v="D-228"/>
    <x v="0"/>
    <s v="DISTRIBUCION"/>
    <s v="RED AEREA"/>
    <s v="N"/>
    <n v="31208"/>
    <n v="188"/>
    <n v="5.8469E-2"/>
    <n v="533754"/>
    <n v="5.8468882668794991E-2"/>
    <n v="0.73"/>
    <s v="S"/>
    <s v="R"/>
    <n v="0"/>
    <s v="F0820-C.CAMP"/>
    <s v="QU169"/>
    <s v="N"/>
    <n v="-1"/>
    <s v="N"/>
    <n v="-1"/>
    <s v="-"/>
    <s v="1. POR EFECTO DE CANAL DE BAJA PRESION, K0403251894, LIC. 4931, (1-40/3), POR VIENTOS FUERTES Y LLUVIA TORRENCIAL SE PRESENTA FALLA POR CAIDA DE RAMA, SE NORMALIZA CCF, ATRAS DEL CLUB CAMPESTRE, TUXTLA GUTIERREZ"/>
  </r>
  <r>
    <s v="DK"/>
    <s v="04"/>
    <s v="I"/>
    <s v="1429"/>
    <n v="2018"/>
    <x v="4"/>
    <x v="3"/>
    <s v="*"/>
    <x v="7"/>
    <x v="6"/>
    <s v="2018.05.27"/>
    <s v="2018.05.27"/>
    <d v="1899-12-30T09:23:00"/>
    <d v="1899-12-30T13:32:00"/>
    <n v="34"/>
    <n v="36"/>
    <x v="189"/>
    <n v="100"/>
    <s v="D-228"/>
    <x v="1"/>
    <s v="DISTRIBUCION"/>
    <s v="RED AEREA"/>
    <s v="N"/>
    <n v="8964"/>
    <n v="249"/>
    <n v="1.6794E-2"/>
    <n v="533754"/>
    <n v="1.679425353252622E-2"/>
    <n v="0.14099999999999999"/>
    <s v="S"/>
    <s v="R"/>
    <n v="0"/>
    <s v="LLANO GDE"/>
    <s v="9MNT4"/>
    <s v="N"/>
    <n v="-1"/>
    <s v="N"/>
    <n v="-1"/>
    <s v="K0403251896"/>
    <s v="% K0403251896 LIC-4935 (1-12/3) FASE C, OPERA POR AVE QUE ROMPE DISTANCIA CON LA RED D MT, SE RESTABLECE EN FCA  LLANO GRANDE"/>
  </r>
  <r>
    <s v="DK"/>
    <s v="04"/>
    <s v="I"/>
    <s v="1432"/>
    <n v="2018"/>
    <x v="4"/>
    <x v="2"/>
    <s v="G"/>
    <x v="6"/>
    <x v="5"/>
    <s v="2018.05.27"/>
    <s v="2018.05.28"/>
    <d v="1899-12-30T20:54:00"/>
    <d v="1899-12-30T02:03:00"/>
    <n v="50"/>
    <n v="1"/>
    <x v="190"/>
    <n v="0"/>
    <s v="D-228"/>
    <x v="1"/>
    <s v="DISTRIBUCION"/>
    <s v="RED AEREA"/>
    <s v="N"/>
    <n v="309"/>
    <n v="309"/>
    <n v="5.7899999999999998E-4"/>
    <n v="533754"/>
    <n v="5.7891837812925056E-4"/>
    <n v="0.25800000000000001"/>
    <s v="S"/>
    <s v="R"/>
    <n v="0"/>
    <s v="F0575-OLAM"/>
    <s v="9FD91"/>
    <s v="N"/>
    <n v="-1"/>
    <s v="N"/>
    <n v="-1"/>
    <s v="K0403251939"/>
    <s v="% K0403251939, LIC-4943 (1-10/9) FASE A, OPERA POR PAJARO QUE ROMPE DISTANCIA CON LA RED DE MT, SE RESTABLECE LIB SUR OTE COL- CERRO HUECO"/>
  </r>
  <r>
    <s v="DK"/>
    <s v="04"/>
    <s v="I"/>
    <s v="1461"/>
    <n v="2018"/>
    <x v="4"/>
    <x v="0"/>
    <s v="*"/>
    <x v="0"/>
    <x v="2"/>
    <s v="2018.05.27"/>
    <s v="2018.05.27"/>
    <d v="1899-12-30T08:10:00"/>
    <d v="1899-12-30T10:15:00"/>
    <n v="16"/>
    <n v="64"/>
    <x v="129"/>
    <n v="100"/>
    <s v="D-228"/>
    <x v="1"/>
    <s v="DISTRIBUCION"/>
    <s v="RED AEREA"/>
    <s v="N"/>
    <n v="8000"/>
    <n v="125"/>
    <n v="1.4988E-2"/>
    <n v="533754"/>
    <n v="1.4988178074543704E-2"/>
    <n v="3.3000000000000002E-2"/>
    <s v="S"/>
    <s v="R"/>
    <n v="0"/>
    <s v="F2229- 10 TE"/>
    <s v="K188R"/>
    <s v="N"/>
    <n v="-1"/>
    <s v="N"/>
    <n v="-1"/>
    <s v="-"/>
    <s v="% K0403251892 LIC 4923 (1-15/3) FASE B, OPERA  POR CAUSA DE ARDILLA HACE CONTACTO CON PUENTE DE MEDIA TENSION , SE RESTABLECE EN LA CALLE 5 SUR OTE VILLAFLORES"/>
  </r>
  <r>
    <s v="DK"/>
    <s v="04"/>
    <s v="I"/>
    <s v="1433"/>
    <n v="2018"/>
    <x v="4"/>
    <x v="2"/>
    <s v="G"/>
    <x v="3"/>
    <x v="2"/>
    <s v="2018.05.28"/>
    <s v="2018.05.28"/>
    <d v="1899-12-30T12:25:00"/>
    <d v="1899-12-30T13:33:00"/>
    <n v="125"/>
    <n v="99"/>
    <x v="3"/>
    <n v="0"/>
    <s v="D-228"/>
    <x v="1"/>
    <s v="DISTRIBUCION"/>
    <s v="RED AEREA"/>
    <s v="N"/>
    <n v="6732"/>
    <n v="68"/>
    <n v="1.2612999999999999E-2"/>
    <n v="533754"/>
    <n v="1.2612551849728527E-2"/>
    <n v="0.14199999999999999"/>
    <s v="S"/>
    <s v="R"/>
    <n v="0"/>
    <s v="F0626-A.BAJA"/>
    <s v="9DY7X"/>
    <s v="N"/>
    <n v="-1"/>
    <s v="N"/>
    <n v="-1"/>
    <s v="K0403252232"/>
    <s v="% K0403252232 LIC-4964 (1-40/3) Y (1-5/3) OPERA  POR PAJAROS QUE ROMPEN DISTANCIA CON LAS LINEAS D MT, SE RESTABLECE EN AV EL SABINO MZ-52 LTE-19 ALBANIA BAJA"/>
  </r>
  <r>
    <s v="DK"/>
    <s v="04"/>
    <s v="I"/>
    <s v="1444"/>
    <n v="2018"/>
    <x v="4"/>
    <x v="2"/>
    <s v="G"/>
    <x v="1"/>
    <x v="4"/>
    <s v="2018.05.29"/>
    <s v="2018.05.29"/>
    <d v="1899-12-30T07:11:00"/>
    <d v="1899-12-30T09:50:00"/>
    <n v="100"/>
    <n v="109"/>
    <x v="191"/>
    <n v="0"/>
    <s v="D-228"/>
    <x v="1"/>
    <s v="DISTRIBUCION"/>
    <s v="RED AEREA"/>
    <s v="N"/>
    <n v="17331"/>
    <n v="159"/>
    <n v="3.2469999999999999E-2"/>
    <n v="533754"/>
    <n v="3.2470014276239613E-2"/>
    <n v="0.26500000000000001"/>
    <s v="S"/>
    <s v="R"/>
    <n v="0"/>
    <s v="F0220-B.AIRE"/>
    <s v="9DY7X"/>
    <s v="N"/>
    <n v="-1"/>
    <s v="N"/>
    <n v="-1"/>
    <s v="K0403252605"/>
    <s v="% K0403252605 LIC-4990 (1-10/3) FASE A, OPERA POR CHOQUE DE AVE EN LA LINEA DE MT, SE RESTABLECE EN  AV. GOLONDRINAS COL BUENOS AIRES"/>
  </r>
  <r>
    <s v="DK"/>
    <s v="04"/>
    <s v="I"/>
    <s v="1442"/>
    <n v="2018"/>
    <x v="4"/>
    <x v="2"/>
    <s v="G"/>
    <x v="5"/>
    <x v="10"/>
    <s v="2018.05.29"/>
    <s v="2018.05.29"/>
    <d v="1899-12-30T16:44:00"/>
    <d v="1899-12-30T19:13:00"/>
    <n v="90"/>
    <n v="105"/>
    <x v="41"/>
    <n v="0"/>
    <s v="D-228"/>
    <x v="0"/>
    <s v="DISTRIBUCION"/>
    <s v="RED AEREA"/>
    <s v="N"/>
    <n v="15645"/>
    <n v="149"/>
    <n v="2.9311E-2"/>
    <n v="533754"/>
    <n v="2.931125574702953E-2"/>
    <n v="0.224"/>
    <s v="S"/>
    <s v="R"/>
    <n v="0"/>
    <s v="F0366-4ASURP"/>
    <s v="9DY7V"/>
    <s v="N"/>
    <n v="-1"/>
    <s v="N"/>
    <n v="-1"/>
    <s v="K0403253431"/>
    <s v="% K0403253431 LIC-5016 (1-12/3) OPERA A CAUSA DE UN FALSO CONTACO EN PUENTE PROVOCADO POR EL CHOQUE D UN AVE , SE RESTABLECE EN C:10 PTE SUR COL LOMITA"/>
  </r>
  <r>
    <s v="DK"/>
    <s v="04"/>
    <s v="I"/>
    <s v="1499"/>
    <n v="2018"/>
    <x v="4"/>
    <x v="0"/>
    <s v="*"/>
    <x v="0"/>
    <x v="3"/>
    <s v="2018.05.31"/>
    <s v="2018.05.31"/>
    <d v="1899-12-30T10:59:00"/>
    <d v="1899-12-30T12:16:00"/>
    <n v="300"/>
    <n v="1"/>
    <x v="192"/>
    <n v="100"/>
    <s v="D-228"/>
    <x v="1"/>
    <s v="DISTRIBUCION"/>
    <s v="RED AEREA"/>
    <s v="N"/>
    <n v="77"/>
    <n v="77"/>
    <n v="1.44E-4"/>
    <n v="533754"/>
    <n v="1.4426121396748316E-4"/>
    <n v="0.38500000000000001"/>
    <s v="S"/>
    <s v="R"/>
    <n v="0"/>
    <s v="PLAZA"/>
    <s v="G431N"/>
    <s v="N"/>
    <n v="-1"/>
    <s v="N"/>
    <n v="-1"/>
    <s v="-"/>
    <s v="K0403254459, LIC-5079 APERTURA DEL RESTAURADOR DE LA PLAZA VILLAFLORES, A CAUSA DE CHOQUE DE AVE CON LA RED DE MT,SE REALIZA CIERRE EN FORMA LOCAL Y SE NORMALIZA SUMINISTRO EN 6A SUR PTE  VILLAFLORES"/>
  </r>
  <r>
    <s v="DK"/>
    <s v="04"/>
    <s v="I"/>
    <s v="1475"/>
    <n v="2018"/>
    <x v="4"/>
    <x v="2"/>
    <s v="G"/>
    <x v="1"/>
    <x v="2"/>
    <s v="2018.05.31"/>
    <s v="2018.05.31"/>
    <d v="1899-12-30T08:33:00"/>
    <d v="1899-12-30T11:22:00"/>
    <n v="90"/>
    <n v="82"/>
    <x v="193"/>
    <n v="0"/>
    <s v="D-228"/>
    <x v="1"/>
    <s v="DISTRIBUCION"/>
    <s v="RED AEREA"/>
    <s v="N"/>
    <n v="13858"/>
    <n v="169"/>
    <n v="2.5963E-2"/>
    <n v="533754"/>
    <n v="2.5963271469628332E-2"/>
    <n v="0.254"/>
    <s v="S"/>
    <s v="R"/>
    <n v="0"/>
    <s v="F0829-B.CALI"/>
    <s v="9DY7G"/>
    <s v="N"/>
    <n v="-1"/>
    <s v="N"/>
    <n v="-1"/>
    <s v="K0403254340"/>
    <s v="% K0403254340, LIC-5078 (1-25/3), (1-10/3) (1-5/3) FASE C OPERA CAUSA DE UNA PALOMA QUE CHOCA CON LA RED DE MT, SE RESTABLECE EN COL. JUAN CRISPIN NTE"/>
  </r>
  <r>
    <s v="DK"/>
    <s v="04"/>
    <s v="I"/>
    <s v="1474"/>
    <n v="2018"/>
    <x v="4"/>
    <x v="1"/>
    <s v="*"/>
    <x v="4"/>
    <x v="21"/>
    <s v="2018.05.31"/>
    <s v="2018.05.31"/>
    <d v="1899-12-30T04:41:00"/>
    <d v="1899-12-30T07:52:00"/>
    <n v="4667"/>
    <n v="102"/>
    <x v="9"/>
    <n v="100"/>
    <s v="R-33"/>
    <x v="19"/>
    <s v="DISTRIBUCION"/>
    <s v="REDES SUBTERRANEAS"/>
    <s v="N"/>
    <n v="19482"/>
    <n v="191"/>
    <n v="3.6499999999999998E-2"/>
    <n v="533754"/>
    <n v="3.6499960656032553E-2"/>
    <n v="14.856999999999999"/>
    <s v="S"/>
    <s v="T"/>
    <n v="5030"/>
    <n v="0"/>
    <s v="9B55X"/>
    <s v="N"/>
    <n v="-1"/>
    <s v="N"/>
    <n v="-1"/>
    <s v="-"/>
    <s v="FALLA GIA 5030 SE PATRULLA SE ABRE C0301 SE PRUEBA Y NO RECIBE, SE CIERRA MANUAL T0302 ENLACE GIA 5020.  RECUOERA AL 100% LA CARGA, SE DETECTA EN POZO 4 COND DAÑADO, LIC 5065(ABIERTA), XM 5, 52,53,54 Y 55"/>
  </r>
  <r>
    <m/>
    <m/>
    <m/>
    <m/>
    <m/>
    <x v="5"/>
    <x v="6"/>
    <m/>
    <x v="21"/>
    <x v="22"/>
    <m/>
    <m/>
    <m/>
    <m/>
    <s v="MENSUAL"/>
    <n v="31825"/>
    <x v="194"/>
    <m/>
    <m/>
    <x v="20"/>
    <m/>
    <s v="MENSUAL"/>
    <n v="226"/>
    <n v="5649593"/>
    <n v="68486"/>
    <m/>
    <m/>
    <n v="10.584638241586942"/>
    <m/>
    <m/>
    <m/>
    <m/>
    <m/>
    <m/>
    <m/>
    <m/>
    <m/>
    <m/>
    <m/>
    <m/>
  </r>
  <r>
    <m/>
    <m/>
    <m/>
    <m/>
    <m/>
    <x v="5"/>
    <x v="6"/>
    <m/>
    <x v="21"/>
    <x v="22"/>
    <m/>
    <m/>
    <m/>
    <m/>
    <m/>
    <m/>
    <x v="194"/>
    <m/>
    <m/>
    <x v="20"/>
    <m/>
    <m/>
    <m/>
    <m/>
    <m/>
    <m/>
    <s v="ZONA TUXTLA"/>
    <m/>
    <s v="META A MAY 18"/>
    <m/>
    <m/>
    <m/>
    <m/>
    <m/>
    <m/>
    <m/>
    <m/>
    <m/>
    <m/>
    <m/>
  </r>
  <r>
    <m/>
    <m/>
    <m/>
    <m/>
    <m/>
    <x v="5"/>
    <x v="6"/>
    <m/>
    <x v="21"/>
    <x v="22"/>
    <m/>
    <m/>
    <m/>
    <m/>
    <m/>
    <m/>
    <x v="194"/>
    <m/>
    <m/>
    <x v="20"/>
    <m/>
    <m/>
    <m/>
    <m/>
    <m/>
    <m/>
    <s v="SAIDI JUNIO 2018"/>
    <n v="10.584638241586942"/>
    <m/>
    <m/>
    <m/>
    <m/>
    <m/>
    <m/>
    <m/>
    <m/>
    <m/>
    <m/>
    <m/>
    <m/>
  </r>
  <r>
    <m/>
    <m/>
    <m/>
    <m/>
    <m/>
    <x v="5"/>
    <x v="6"/>
    <m/>
    <x v="21"/>
    <x v="22"/>
    <m/>
    <m/>
    <m/>
    <m/>
    <m/>
    <m/>
    <x v="194"/>
    <m/>
    <m/>
    <x v="20"/>
    <m/>
    <m/>
    <m/>
    <m/>
    <m/>
    <m/>
    <s v="SAIFI JUNIO 2018"/>
    <n v="5.9624845902794169E-2"/>
    <m/>
    <m/>
    <m/>
    <m/>
    <m/>
    <m/>
    <m/>
    <m/>
    <m/>
    <m/>
    <m/>
    <m/>
  </r>
  <r>
    <m/>
    <m/>
    <m/>
    <m/>
    <m/>
    <x v="5"/>
    <x v="6"/>
    <m/>
    <x v="21"/>
    <x v="22"/>
    <m/>
    <m/>
    <m/>
    <m/>
    <m/>
    <m/>
    <x v="194"/>
    <m/>
    <m/>
    <x v="20"/>
    <m/>
    <m/>
    <m/>
    <m/>
    <m/>
    <m/>
    <s v="CAIDI JUNIO 2018"/>
    <n v="177.52059701492539"/>
    <m/>
    <m/>
    <m/>
    <m/>
    <m/>
    <m/>
    <m/>
    <m/>
    <m/>
    <m/>
    <m/>
    <m/>
  </r>
  <r>
    <m/>
    <m/>
    <m/>
    <m/>
    <m/>
    <x v="5"/>
    <x v="6"/>
    <m/>
    <x v="21"/>
    <x v="22"/>
    <m/>
    <m/>
    <m/>
    <m/>
    <m/>
    <m/>
    <x v="194"/>
    <m/>
    <m/>
    <x v="20"/>
    <m/>
    <m/>
    <m/>
    <m/>
    <m/>
    <m/>
    <s v="TPR JUNIO 2018"/>
    <n v="303.0353982300885"/>
    <m/>
    <m/>
    <m/>
    <m/>
    <m/>
    <m/>
    <m/>
    <m/>
    <m/>
    <m/>
    <m/>
    <m/>
  </r>
  <r>
    <m/>
    <m/>
    <m/>
    <m/>
    <m/>
    <x v="5"/>
    <x v="6"/>
    <m/>
    <x v="21"/>
    <x v="22"/>
    <m/>
    <m/>
    <m/>
    <m/>
    <m/>
    <m/>
    <x v="194"/>
    <m/>
    <m/>
    <x v="20"/>
    <m/>
    <m/>
    <m/>
    <m/>
    <m/>
    <m/>
    <s v="UPA JUNIO 2018"/>
    <n v="140.81858407079645"/>
    <m/>
    <m/>
    <m/>
    <m/>
    <m/>
    <m/>
    <m/>
    <m/>
    <m/>
    <m/>
    <m/>
    <m/>
  </r>
  <r>
    <m/>
    <m/>
    <m/>
    <m/>
    <m/>
    <x v="5"/>
    <x v="6"/>
    <m/>
    <x v="21"/>
    <x v="22"/>
    <m/>
    <m/>
    <m/>
    <m/>
    <m/>
    <m/>
    <x v="194"/>
    <m/>
    <m/>
    <x v="20"/>
    <m/>
    <m/>
    <m/>
    <m/>
    <m/>
    <m/>
    <s v="NI JUNIO 2018"/>
    <n v="226"/>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la dinámica2"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rowHeaderCaption="AREA">
  <location ref="A3:H29" firstHeaderRow="0" firstDataRow="1" firstDataCol="2"/>
  <pivotFields count="40">
    <pivotField showAll="0"/>
    <pivotField showAll="0"/>
    <pivotField showAll="0"/>
    <pivotField showAll="0"/>
    <pivotField showAll="0"/>
    <pivotField axis="axisRow" showAll="0">
      <items count="7">
        <item n="ENERO" x="0"/>
        <item n="FEBRERO" x="1"/>
        <item n="MARZO" x="2"/>
        <item n="ABRIL" x="3"/>
        <item n="MAYO" x="4"/>
        <item h="1" x="5"/>
        <item t="default"/>
      </items>
    </pivotField>
    <pivotField axis="axisRow" outline="0" showAll="0" defaultSubtotal="0">
      <items count="7">
        <item n="AREA FORANEA" x="1"/>
        <item n="AREA URBANA" x="2"/>
        <item n="AREA VILLAFLORES" x="0"/>
        <item n="AREA CINTALAPA" x="3"/>
        <item n="AREA BOCHIL" x="5"/>
        <item n="LST" x="4"/>
        <item x="6"/>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5"/>
  </rowFields>
  <rowItems count="26">
    <i>
      <x/>
      <x/>
    </i>
    <i r="1">
      <x v="1"/>
    </i>
    <i r="1">
      <x v="2"/>
    </i>
    <i r="1">
      <x v="3"/>
    </i>
    <i r="1">
      <x v="4"/>
    </i>
    <i>
      <x v="1"/>
      <x/>
    </i>
    <i r="1">
      <x v="1"/>
    </i>
    <i r="1">
      <x v="2"/>
    </i>
    <i r="1">
      <x v="3"/>
    </i>
    <i r="1">
      <x v="4"/>
    </i>
    <i>
      <x v="2"/>
      <x/>
    </i>
    <i r="1">
      <x v="1"/>
    </i>
    <i r="1">
      <x v="2"/>
    </i>
    <i r="1">
      <x v="3"/>
    </i>
    <i r="1">
      <x v="4"/>
    </i>
    <i>
      <x v="3"/>
      <x/>
    </i>
    <i r="1">
      <x v="1"/>
    </i>
    <i r="1">
      <x v="2"/>
    </i>
    <i r="1">
      <x v="3"/>
    </i>
    <i r="1">
      <x v="4"/>
    </i>
    <i>
      <x v="4"/>
      <x v="1"/>
    </i>
    <i r="1">
      <x v="2"/>
    </i>
    <i r="1">
      <x v="3"/>
    </i>
    <i r="1">
      <x v="4"/>
    </i>
    <i>
      <x v="5"/>
      <x/>
    </i>
    <i t="grand">
      <x/>
    </i>
  </rowItems>
  <colFields count="1">
    <field x="-2"/>
  </colFields>
  <colItems count="6">
    <i>
      <x/>
    </i>
    <i i="1">
      <x v="1"/>
    </i>
    <i i="2">
      <x v="2"/>
    </i>
    <i i="3">
      <x v="3"/>
    </i>
    <i i="4">
      <x v="4"/>
    </i>
    <i i="5">
      <x v="5"/>
    </i>
  </colItems>
  <dataFields count="6">
    <dataField name="NI" fld="22" subtotal="count" baseField="0" baseItem="0"/>
    <dataField name="SAIDI" fld="27" baseField="5" baseItem="0"/>
    <dataField name=" Duración" fld="24" baseField="5" baseItem="0"/>
    <dataField name=" DEMUA" fld="23" baseField="5" baseItem="0"/>
    <dataField name="Usuarios Afectados" fld="15" baseField="5" baseItem="0"/>
    <dataField name="Usuarios Zona" fld="26" subtotal="average" baseField="5" baseItem="0"/>
  </dataFields>
  <formats count="14">
    <format dxfId="499">
      <pivotArea type="all" dataOnly="0" outline="0" fieldPosition="0"/>
    </format>
    <format dxfId="498">
      <pivotArea outline="0" collapsedLevelsAreSubtotals="1" fieldPosition="0"/>
    </format>
    <format dxfId="497">
      <pivotArea field="5" type="button" dataOnly="0" labelOnly="1" outline="0" axis="axisRow" fieldPosition="1"/>
    </format>
    <format dxfId="496">
      <pivotArea dataOnly="0" labelOnly="1" fieldPosition="0">
        <references count="1">
          <reference field="5" count="0"/>
        </references>
      </pivotArea>
    </format>
    <format dxfId="495">
      <pivotArea dataOnly="0" labelOnly="1" grandRow="1" outline="0" fieldPosition="0"/>
    </format>
    <format dxfId="494">
      <pivotArea dataOnly="0" labelOnly="1" outline="0" fieldPosition="0">
        <references count="1">
          <reference field="4294967294" count="2">
            <x v="0"/>
            <x v="1"/>
          </reference>
        </references>
      </pivotArea>
    </format>
    <format dxfId="493">
      <pivotArea dataOnly="0" outline="0" fieldPosition="0">
        <references count="1">
          <reference field="4294967294" count="1">
            <x v="0"/>
          </reference>
        </references>
      </pivotArea>
    </format>
    <format dxfId="492">
      <pivotArea dataOnly="0" labelOnly="1" outline="0" fieldPosition="0">
        <references count="1">
          <reference field="4294967294" count="1">
            <x v="1"/>
          </reference>
        </references>
      </pivotArea>
    </format>
    <format dxfId="491">
      <pivotArea dataOnly="0" labelOnly="1" outline="0" fieldPosition="0">
        <references count="1">
          <reference field="4294967294" count="1">
            <x v="3"/>
          </reference>
        </references>
      </pivotArea>
    </format>
    <format dxfId="490">
      <pivotArea dataOnly="0" labelOnly="1" outline="0" fieldPosition="0">
        <references count="1">
          <reference field="4294967294" count="1">
            <x v="2"/>
          </reference>
        </references>
      </pivotArea>
    </format>
    <format dxfId="489">
      <pivotArea field="5" type="button" dataOnly="0" labelOnly="1" outline="0" axis="axisRow" fieldPosition="1"/>
    </format>
    <format dxfId="488">
      <pivotArea dataOnly="0" labelOnly="1" outline="0" fieldPosition="0">
        <references count="1">
          <reference field="4294967294" count="6">
            <x v="0"/>
            <x v="1"/>
            <x v="2"/>
            <x v="3"/>
            <x v="4"/>
            <x v="5"/>
          </reference>
        </references>
      </pivotArea>
    </format>
    <format dxfId="487">
      <pivotArea grandRow="1" outline="0" collapsedLevelsAreSubtotals="1" fieldPosition="0"/>
    </format>
    <format dxfId="48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abla dinámica3"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rowHeaderCaption="CAUSA" fieldListSortAscending="1">
  <location ref="A3:C24" firstHeaderRow="0" firstDataRow="1" firstDataCol="1"/>
  <pivotFields count="4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30">
        <item n="D-109- FUSIBLE INADECUADO" x="15"/>
        <item m="1" x="24"/>
        <item m="1" x="23"/>
        <item n="D-123M- VIENTOS FUERTES" x="8"/>
        <item m="1" x="26"/>
        <item m="1" x="27"/>
        <item n="D-125A- DESCARGA ATMOSFERICA LINEA ROTA" x="18"/>
        <item n="D-125B- DESCARGA ATMOSFERICA AISLADOR FLAMEADO" x="13"/>
        <item n="D-125E- DESCARGA ATMOSFERICA APARTARRAYO DAÑADO" x="4"/>
        <item n="D-125J- DESCARGA ATMOSFERICA PUENTE ABIERTO" x="14"/>
        <item m="1" x="21"/>
        <item n="D-133- FALSO CONTACTO" x="0"/>
        <item n="D-134- RAMAS SOBRE LA LINEA" x="7"/>
        <item n="D-141- CHOQUE O GOLPE" x="10"/>
        <item n="D-144- PROPAGACION FALLA AJENA" x="12"/>
        <item n="D-145- ANIMALES" x="1"/>
        <item n="D-147- INCENDIO O EXPLOSION" x="9"/>
        <item n="D-149- QUEMA O INCENDIO" x="16"/>
        <item n="D-151- LIBRANZA" x="2"/>
        <item n="D-151A- LIBRANZA POR EMERGENCIA" x="3"/>
        <item n="D-153 SOBRECARGA" x="6"/>
        <item n="D-164- FALLA DE CONDUCTOR" x="17"/>
        <item m="1" x="22"/>
        <item m="1" x="25"/>
        <item m="1" x="28"/>
        <item x="11"/>
        <item n="R-02A- FALLA DE CONDUCTOR" x="19"/>
        <item x="5"/>
        <item h="1" x="20"/>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21">
    <i>
      <x v="11"/>
    </i>
    <i>
      <x v="15"/>
    </i>
    <i>
      <x v="7"/>
    </i>
    <i>
      <x v="12"/>
    </i>
    <i>
      <x v="13"/>
    </i>
    <i>
      <x v="14"/>
    </i>
    <i>
      <x v="9"/>
    </i>
    <i>
      <x v="18"/>
    </i>
    <i>
      <x v="20"/>
    </i>
    <i>
      <x v="21"/>
    </i>
    <i>
      <x/>
    </i>
    <i>
      <x v="8"/>
    </i>
    <i>
      <x v="3"/>
    </i>
    <i>
      <x v="6"/>
    </i>
    <i>
      <x v="16"/>
    </i>
    <i>
      <x v="19"/>
    </i>
    <i>
      <x v="25"/>
    </i>
    <i>
      <x v="26"/>
    </i>
    <i>
      <x v="17"/>
    </i>
    <i>
      <x v="27"/>
    </i>
    <i t="grand">
      <x/>
    </i>
  </rowItems>
  <colFields count="1">
    <field x="-2"/>
  </colFields>
  <colItems count="2">
    <i>
      <x/>
    </i>
    <i i="1">
      <x v="1"/>
    </i>
  </colItems>
  <dataFields count="2">
    <dataField name="NI" fld="22" subtotal="count" baseField="0" baseItem="0"/>
    <dataField name="SAIDI" fld="27" baseField="19" baseItem="0"/>
  </dataFields>
  <formats count="15">
    <format dxfId="485">
      <pivotArea type="all" dataOnly="0" outline="0" fieldPosition="0"/>
    </format>
    <format dxfId="484">
      <pivotArea outline="0" collapsedLevelsAreSubtotals="1" fieldPosition="0"/>
    </format>
    <format dxfId="483">
      <pivotArea field="19" type="button" dataOnly="0" labelOnly="1" outline="0" axis="axisRow" fieldPosition="0"/>
    </format>
    <format dxfId="482">
      <pivotArea dataOnly="0" labelOnly="1" fieldPosition="0">
        <references count="1">
          <reference field="19" count="0"/>
        </references>
      </pivotArea>
    </format>
    <format dxfId="481">
      <pivotArea dataOnly="0" labelOnly="1" grandRow="1" outline="0" fieldPosition="0"/>
    </format>
    <format dxfId="480">
      <pivotArea dataOnly="0" labelOnly="1" outline="0" fieldPosition="0">
        <references count="1">
          <reference field="4294967294" count="2">
            <x v="0"/>
            <x v="1"/>
          </reference>
        </references>
      </pivotArea>
    </format>
    <format dxfId="479">
      <pivotArea outline="0" collapsedLevelsAreSubtotals="1" fieldPosition="0">
        <references count="1">
          <reference field="4294967294" count="1" selected="0">
            <x v="0"/>
          </reference>
        </references>
      </pivotArea>
    </format>
    <format dxfId="478">
      <pivotArea dataOnly="0" labelOnly="1" outline="0" fieldPosition="0">
        <references count="1">
          <reference field="4294967294" count="1">
            <x v="0"/>
          </reference>
        </references>
      </pivotArea>
    </format>
    <format dxfId="477">
      <pivotArea dataOnly="0" labelOnly="1" outline="0" fieldPosition="0">
        <references count="1">
          <reference field="4294967294" count="1">
            <x v="1"/>
          </reference>
        </references>
      </pivotArea>
    </format>
    <format dxfId="476">
      <pivotArea field="19" type="button" dataOnly="0" labelOnly="1" outline="0" axis="axisRow" fieldPosition="0"/>
    </format>
    <format dxfId="475">
      <pivotArea dataOnly="0" labelOnly="1" outline="0" fieldPosition="0">
        <references count="1">
          <reference field="4294967294" count="2">
            <x v="0"/>
            <x v="1"/>
          </reference>
        </references>
      </pivotArea>
    </format>
    <format dxfId="474">
      <pivotArea collapsedLevelsAreSubtotals="1" fieldPosition="0">
        <references count="1">
          <reference field="19" count="6">
            <x v="7"/>
            <x v="11"/>
            <x v="12"/>
            <x v="14"/>
            <x v="15"/>
            <x v="18"/>
          </reference>
        </references>
      </pivotArea>
    </format>
    <format dxfId="473">
      <pivotArea dataOnly="0" labelOnly="1" fieldPosition="0">
        <references count="1">
          <reference field="19" count="6">
            <x v="7"/>
            <x v="11"/>
            <x v="12"/>
            <x v="14"/>
            <x v="15"/>
            <x v="18"/>
          </reference>
        </references>
      </pivotArea>
    </format>
    <format dxfId="472">
      <pivotArea collapsedLevelsAreSubtotals="1" fieldPosition="0">
        <references count="1">
          <reference field="19" count="5">
            <x v="7"/>
            <x v="11"/>
            <x v="14"/>
            <x v="15"/>
            <x v="18"/>
          </reference>
        </references>
      </pivotArea>
    </format>
    <format dxfId="471">
      <pivotArea dataOnly="0" labelOnly="1" fieldPosition="0">
        <references count="1">
          <reference field="19" count="5">
            <x v="7"/>
            <x v="11"/>
            <x v="14"/>
            <x v="15"/>
            <x v="1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Tabla dinámica1"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rowHeaderCaption="Subestacion">
  <location ref="A3:I312" firstHeaderRow="0" firstDataRow="1" firstDataCol="4"/>
  <pivotFields count="40">
    <pivotField showAll="0"/>
    <pivotField showAll="0"/>
    <pivotField showAll="0"/>
    <pivotField showAll="0"/>
    <pivotField showAll="0"/>
    <pivotField showAll="0"/>
    <pivotField showAll="0"/>
    <pivotField showAll="0"/>
    <pivotField axis="axisRow" outline="0" showAll="0" sortType="descending">
      <items count="23">
        <item x="2"/>
        <item x="16"/>
        <item x="4"/>
        <item x="8"/>
        <item x="12"/>
        <item x="6"/>
        <item x="1"/>
        <item h="1" x="21"/>
        <item x="7"/>
        <item x="10"/>
        <item x="13"/>
        <item x="14"/>
        <item x="17"/>
        <item x="0"/>
        <item x="3"/>
        <item x="5"/>
        <item x="9"/>
        <item x="11"/>
        <item x="15"/>
        <item x="18"/>
        <item x="19"/>
        <item x="20"/>
        <item t="default"/>
      </items>
      <autoSortScope>
        <pivotArea dataOnly="0" outline="0" fieldPosition="0">
          <references count="1">
            <reference field="4294967294" count="1" selected="0">
              <x v="1"/>
            </reference>
          </references>
        </pivotArea>
      </autoSortScope>
    </pivotField>
    <pivotField axis="axisRow" outline="0" showAll="0">
      <items count="24">
        <item x="3"/>
        <item x="1"/>
        <item x="2"/>
        <item x="0"/>
        <item x="12"/>
        <item x="8"/>
        <item x="18"/>
        <item x="5"/>
        <item x="13"/>
        <item x="21"/>
        <item x="22"/>
        <item x="6"/>
        <item x="9"/>
        <item x="10"/>
        <item x="4"/>
        <item x="19"/>
        <item x="7"/>
        <item x="11"/>
        <item x="14"/>
        <item x="15"/>
        <item x="16"/>
        <item x="17"/>
        <item x="20"/>
        <item t="default"/>
      </items>
    </pivotField>
    <pivotField showAll="0"/>
    <pivotField showAll="0"/>
    <pivotField showAll="0"/>
    <pivotField showAll="0"/>
    <pivotField showAll="0"/>
    <pivotField dataField="1" showAll="0"/>
    <pivotField axis="axisRow" outline="0" showAll="0" defaultSubtotal="0">
      <items count="195">
        <item x="9"/>
        <item x="65"/>
        <item x="1"/>
        <item x="89"/>
        <item x="64"/>
        <item x="176"/>
        <item x="100"/>
        <item x="178"/>
        <item x="157"/>
        <item x="36"/>
        <item x="2"/>
        <item x="35"/>
        <item x="137"/>
        <item x="132"/>
        <item x="80"/>
        <item x="61"/>
        <item x="54"/>
        <item x="118"/>
        <item x="149"/>
        <item x="174"/>
        <item x="12"/>
        <item x="59"/>
        <item x="42"/>
        <item x="39"/>
        <item x="130"/>
        <item x="151"/>
        <item x="148"/>
        <item x="150"/>
        <item x="185"/>
        <item x="141"/>
        <item x="152"/>
        <item x="103"/>
        <item x="142"/>
        <item x="13"/>
        <item x="160"/>
        <item x="8"/>
        <item x="28"/>
        <item x="122"/>
        <item x="60"/>
        <item x="182"/>
        <item x="97"/>
        <item x="16"/>
        <item x="101"/>
        <item x="102"/>
        <item x="19"/>
        <item x="113"/>
        <item x="115"/>
        <item x="5"/>
        <item x="81"/>
        <item x="78"/>
        <item x="135"/>
        <item x="98"/>
        <item x="140"/>
        <item x="143"/>
        <item x="153"/>
        <item x="116"/>
        <item x="139"/>
        <item x="58"/>
        <item x="40"/>
        <item x="194"/>
        <item x="10"/>
        <item x="11"/>
        <item x="17"/>
        <item x="22"/>
        <item x="23"/>
        <item x="29"/>
        <item x="34"/>
        <item x="56"/>
        <item x="62"/>
        <item x="66"/>
        <item x="72"/>
        <item x="79"/>
        <item x="83"/>
        <item x="121"/>
        <item x="125"/>
        <item x="133"/>
        <item x="138"/>
        <item x="146"/>
        <item x="154"/>
        <item x="156"/>
        <item x="158"/>
        <item x="161"/>
        <item x="163"/>
        <item x="164"/>
        <item x="165"/>
        <item x="177"/>
        <item x="179"/>
        <item x="180"/>
        <item x="181"/>
        <item x="183"/>
        <item x="189"/>
        <item x="0"/>
        <item x="3"/>
        <item x="4"/>
        <item x="6"/>
        <item x="7"/>
        <item x="14"/>
        <item x="15"/>
        <item x="18"/>
        <item x="20"/>
        <item x="21"/>
        <item x="24"/>
        <item x="25"/>
        <item x="26"/>
        <item x="27"/>
        <item x="30"/>
        <item x="31"/>
        <item x="32"/>
        <item x="33"/>
        <item x="37"/>
        <item x="38"/>
        <item x="41"/>
        <item x="43"/>
        <item x="44"/>
        <item x="45"/>
        <item x="46"/>
        <item x="47"/>
        <item x="48"/>
        <item x="49"/>
        <item x="50"/>
        <item x="51"/>
        <item x="52"/>
        <item x="53"/>
        <item x="55"/>
        <item x="57"/>
        <item x="63"/>
        <item x="67"/>
        <item x="68"/>
        <item x="69"/>
        <item x="70"/>
        <item x="71"/>
        <item x="73"/>
        <item x="74"/>
        <item x="75"/>
        <item x="76"/>
        <item x="77"/>
        <item x="82"/>
        <item x="84"/>
        <item x="85"/>
        <item x="86"/>
        <item x="87"/>
        <item x="88"/>
        <item x="90"/>
        <item x="91"/>
        <item x="92"/>
        <item x="93"/>
        <item x="94"/>
        <item x="95"/>
        <item x="96"/>
        <item x="99"/>
        <item x="104"/>
        <item x="105"/>
        <item x="106"/>
        <item x="107"/>
        <item x="108"/>
        <item x="109"/>
        <item x="110"/>
        <item x="111"/>
        <item x="112"/>
        <item x="114"/>
        <item x="117"/>
        <item x="119"/>
        <item x="120"/>
        <item x="123"/>
        <item x="124"/>
        <item x="126"/>
        <item x="127"/>
        <item x="128"/>
        <item x="129"/>
        <item x="131"/>
        <item x="134"/>
        <item x="136"/>
        <item x="144"/>
        <item x="145"/>
        <item x="147"/>
        <item x="155"/>
        <item x="159"/>
        <item x="162"/>
        <item x="166"/>
        <item x="167"/>
        <item x="168"/>
        <item x="169"/>
        <item x="170"/>
        <item x="171"/>
        <item x="172"/>
        <item x="173"/>
        <item x="175"/>
        <item x="184"/>
        <item x="186"/>
        <item x="187"/>
        <item x="188"/>
        <item x="190"/>
        <item x="191"/>
        <item x="192"/>
        <item x="193"/>
      </items>
    </pivotField>
    <pivotField showAll="0"/>
    <pivotField showAll="0"/>
    <pivotField axis="axisRow" compact="0" outline="0" subtotalTop="0" showAll="0">
      <items count="30">
        <item n="D-109- FUSIBLE INADECUADO" x="15"/>
        <item m="1" x="24"/>
        <item m="1" x="23"/>
        <item n="D-123M- VIENTOS FUERTES" x="8"/>
        <item m="1" x="26"/>
        <item m="1" x="27"/>
        <item n="D-125A- DESCARGA ATMOSFERICA LINEA ROTA" x="18"/>
        <item n="D-125B- DESCARGA ATMOSFERICA AISLADOR FLAMEADO" x="13"/>
        <item n="D-125E- DESCARGA ATMOSFERICA APARTARRAYO DAÑADO" x="4"/>
        <item n="D-125J- DESCARGA ATMOSFERICA PUENTE ABIERTO" x="14"/>
        <item m="1" x="21"/>
        <item n="D-133- FALSO CONTACTO" x="0"/>
        <item n="D-134- RAMA SOBRE LA LINEA" x="7"/>
        <item n="D-141 CHOQUE O GOLPE" x="10"/>
        <item n="D-144- FALTA BRECHA" x="12"/>
        <item n="D-145- ANIMALES" x="1"/>
        <item n="D-147- INCENDIO O EXPLOSION" x="9"/>
        <item n="D-149- QUEMA O INCENDIO" x="16"/>
        <item n="D-151- LIBRANZA" x="2"/>
        <item n="D-151A- LIBRANZA DE EMERGENCIA" x="3"/>
        <item n="D-153- SOBRECARGA" x="6"/>
        <item n="D-164- FALLA DE CONDUCTOR" x="17"/>
        <item m="1" x="22"/>
        <item m="1" x="25"/>
        <item m="1" x="28"/>
        <item x="11"/>
        <item n="R-02A- FALLA DE CONDUCTOR" x="19"/>
        <item x="5"/>
        <item h="1" x="20"/>
        <item t="default"/>
      </items>
    </pivotField>
    <pivotField showAll="0"/>
    <pivotField showAll="0"/>
    <pivotField dataField="1" showAll="0"/>
    <pivotField dataField="1"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4">
    <field x="8"/>
    <field x="9"/>
    <field x="16"/>
    <field x="19"/>
  </rowFields>
  <rowItems count="309">
    <i>
      <x v="8"/>
      <x v="4"/>
      <x v="86"/>
      <x v="15"/>
    </i>
    <i t="default" r="1">
      <x v="4"/>
    </i>
    <i r="1">
      <x v="11"/>
      <x/>
      <x v="11"/>
    </i>
    <i r="2">
      <x v="60"/>
      <x v="11"/>
    </i>
    <i r="2">
      <x v="61"/>
      <x v="18"/>
    </i>
    <i r="2">
      <x v="69"/>
      <x v="15"/>
    </i>
    <i r="2">
      <x v="76"/>
      <x v="7"/>
    </i>
    <i r="2">
      <x v="78"/>
      <x v="11"/>
    </i>
    <i r="2">
      <x v="89"/>
      <x v="7"/>
    </i>
    <i r="2">
      <x v="90"/>
      <x v="15"/>
    </i>
    <i t="default" r="1">
      <x v="11"/>
    </i>
    <i r="1">
      <x v="15"/>
      <x/>
      <x v="11"/>
    </i>
    <i t="default" r="1">
      <x v="15"/>
    </i>
    <i t="default">
      <x v="8"/>
    </i>
    <i>
      <x v="2"/>
      <x/>
      <x/>
      <x v="19"/>
    </i>
    <i r="2">
      <x v="4"/>
      <x v="14"/>
    </i>
    <i r="3">
      <x v="15"/>
    </i>
    <i r="2">
      <x v="7"/>
      <x v="15"/>
    </i>
    <i r="2">
      <x v="19"/>
      <x v="6"/>
    </i>
    <i r="3">
      <x v="15"/>
    </i>
    <i r="2">
      <x v="38"/>
      <x v="15"/>
    </i>
    <i r="2">
      <x v="39"/>
      <x v="15"/>
    </i>
    <i r="2">
      <x v="42"/>
      <x v="15"/>
    </i>
    <i r="2">
      <x v="43"/>
      <x v="15"/>
    </i>
    <i r="2">
      <x v="47"/>
      <x v="15"/>
    </i>
    <i r="2">
      <x v="52"/>
      <x v="15"/>
    </i>
    <i r="2">
      <x v="58"/>
      <x v="15"/>
    </i>
    <i t="default" r="1">
      <x/>
    </i>
    <i r="1">
      <x v="2"/>
      <x v="14"/>
      <x v="12"/>
    </i>
    <i r="2">
      <x v="20"/>
      <x v="19"/>
    </i>
    <i r="2">
      <x v="29"/>
      <x v="15"/>
    </i>
    <i r="2">
      <x v="40"/>
      <x v="15"/>
    </i>
    <i r="3">
      <x v="20"/>
    </i>
    <i r="2">
      <x v="46"/>
      <x v="15"/>
    </i>
    <i r="2">
      <x v="51"/>
      <x v="15"/>
    </i>
    <i t="default" r="1">
      <x v="2"/>
    </i>
    <i r="1">
      <x v="3"/>
      <x v="9"/>
      <x v="15"/>
    </i>
    <i r="2">
      <x v="13"/>
      <x v="15"/>
    </i>
    <i r="2">
      <x v="16"/>
      <x v="11"/>
    </i>
    <i r="2">
      <x v="48"/>
      <x v="11"/>
    </i>
    <i r="3">
      <x v="15"/>
    </i>
    <i r="2">
      <x v="50"/>
      <x v="11"/>
    </i>
    <i t="default" r="1">
      <x v="3"/>
    </i>
    <i r="1">
      <x v="8"/>
      <x v="21"/>
      <x v="15"/>
    </i>
    <i r="2">
      <x v="22"/>
      <x v="11"/>
    </i>
    <i r="2">
      <x v="23"/>
      <x v="11"/>
    </i>
    <i t="default" r="1">
      <x v="8"/>
    </i>
    <i r="1">
      <x v="9"/>
      <x/>
      <x v="26"/>
    </i>
    <i t="default" r="1">
      <x v="9"/>
    </i>
    <i t="default">
      <x v="2"/>
    </i>
    <i>
      <x v="5"/>
      <x v="2"/>
      <x v="154"/>
      <x v="15"/>
    </i>
    <i r="2">
      <x v="182"/>
      <x v="11"/>
    </i>
    <i t="default" r="1">
      <x v="2"/>
    </i>
    <i r="1">
      <x v="7"/>
      <x v="3"/>
      <x v="14"/>
    </i>
    <i r="2">
      <x v="24"/>
      <x v="15"/>
    </i>
    <i r="2">
      <x v="25"/>
      <x v="11"/>
    </i>
    <i r="2">
      <x v="35"/>
      <x v="11"/>
    </i>
    <i r="2">
      <x v="130"/>
      <x v="15"/>
    </i>
    <i r="2">
      <x v="139"/>
      <x v="25"/>
    </i>
    <i r="2">
      <x v="153"/>
      <x v="15"/>
    </i>
    <i r="2">
      <x v="181"/>
      <x v="11"/>
    </i>
    <i r="2">
      <x v="191"/>
      <x v="15"/>
    </i>
    <i t="default" r="1">
      <x v="7"/>
    </i>
    <i r="1">
      <x v="13"/>
      <x v="161"/>
      <x v="14"/>
    </i>
    <i r="2">
      <x v="169"/>
      <x v="11"/>
    </i>
    <i t="default" r="1">
      <x v="13"/>
    </i>
    <i r="1">
      <x v="16"/>
      <x v="107"/>
      <x v="11"/>
    </i>
    <i r="2">
      <x v="149"/>
      <x v="15"/>
    </i>
    <i t="default" r="1">
      <x v="16"/>
    </i>
    <i r="1">
      <x v="19"/>
      <x v="122"/>
      <x v="11"/>
    </i>
    <i r="3">
      <x v="15"/>
    </i>
    <i r="2">
      <x v="162"/>
      <x v="15"/>
    </i>
    <i t="default" r="1">
      <x v="19"/>
    </i>
    <i r="1">
      <x v="20"/>
      <x/>
      <x v="15"/>
    </i>
    <i r="2">
      <x v="126"/>
      <x v="3"/>
    </i>
    <i r="2">
      <x v="179"/>
      <x v="15"/>
    </i>
    <i t="default" r="1">
      <x v="20"/>
    </i>
    <i t="default">
      <x v="5"/>
    </i>
    <i>
      <x v="3"/>
      <x/>
      <x v="1"/>
      <x/>
    </i>
    <i r="3">
      <x v="15"/>
    </i>
    <i r="2">
      <x v="15"/>
      <x v="15"/>
    </i>
    <i r="2">
      <x v="28"/>
      <x v="11"/>
    </i>
    <i r="2">
      <x v="31"/>
      <x v="11"/>
    </i>
    <i r="3">
      <x v="12"/>
    </i>
    <i r="2">
      <x v="32"/>
      <x v="8"/>
    </i>
    <i r="2">
      <x v="33"/>
      <x v="11"/>
    </i>
    <i r="2">
      <x v="37"/>
      <x v="15"/>
    </i>
    <i r="2">
      <x v="41"/>
      <x v="11"/>
    </i>
    <i r="2">
      <x v="55"/>
      <x v="11"/>
    </i>
    <i r="3">
      <x v="15"/>
    </i>
    <i r="2">
      <x v="56"/>
      <x v="15"/>
    </i>
    <i r="2">
      <x v="57"/>
      <x v="15"/>
    </i>
    <i t="default" r="1">
      <x/>
    </i>
    <i r="1">
      <x v="3"/>
      <x v="11"/>
      <x v="11"/>
    </i>
    <i t="default" r="1">
      <x v="3"/>
    </i>
    <i r="1">
      <x v="8"/>
      <x v="18"/>
      <x v="7"/>
    </i>
    <i t="default" r="1">
      <x v="8"/>
    </i>
    <i t="default">
      <x v="3"/>
    </i>
    <i>
      <x v="13"/>
      <x/>
      <x v="94"/>
      <x v="15"/>
    </i>
    <i r="2">
      <x v="117"/>
      <x v="20"/>
    </i>
    <i r="2">
      <x v="148"/>
      <x v="15"/>
    </i>
    <i r="2">
      <x v="193"/>
      <x v="15"/>
    </i>
    <i t="default" r="1">
      <x/>
    </i>
    <i r="1">
      <x v="2"/>
      <x v="114"/>
      <x v="7"/>
    </i>
    <i r="3">
      <x v="15"/>
    </i>
    <i r="2">
      <x v="118"/>
      <x v="11"/>
    </i>
    <i r="2">
      <x v="128"/>
      <x v="3"/>
    </i>
    <i r="3">
      <x v="15"/>
    </i>
    <i r="2">
      <x v="168"/>
      <x v="15"/>
    </i>
    <i t="default" r="1">
      <x v="2"/>
    </i>
    <i r="1">
      <x v="3"/>
      <x v="91"/>
      <x v="11"/>
    </i>
    <i r="3">
      <x v="15"/>
    </i>
    <i r="2">
      <x v="93"/>
      <x v="15"/>
    </i>
    <i r="2">
      <x v="105"/>
      <x v="15"/>
    </i>
    <i r="2">
      <x v="166"/>
      <x v="11"/>
    </i>
    <i r="2">
      <x v="176"/>
      <x v="17"/>
    </i>
    <i t="default" r="1">
      <x v="3"/>
    </i>
    <i r="1">
      <x v="13"/>
      <x v="112"/>
      <x v="15"/>
    </i>
    <i r="2">
      <x v="157"/>
      <x v="15"/>
    </i>
    <i r="2">
      <x v="175"/>
      <x v="12"/>
    </i>
    <i t="default" r="1">
      <x v="13"/>
    </i>
    <i r="1">
      <x v="14"/>
      <x v="136"/>
      <x v="15"/>
    </i>
    <i t="default" r="1">
      <x v="14"/>
    </i>
    <i t="default">
      <x v="13"/>
    </i>
    <i>
      <x v="4"/>
      <x v="1"/>
      <x v="123"/>
      <x v="20"/>
    </i>
    <i r="2">
      <x v="141"/>
      <x v="15"/>
    </i>
    <i r="2">
      <x v="170"/>
      <x v="11"/>
    </i>
    <i r="2">
      <x v="185"/>
      <x v="20"/>
    </i>
    <i t="default" r="1">
      <x v="1"/>
    </i>
    <i r="1">
      <x v="5"/>
      <x v="44"/>
      <x v="11"/>
    </i>
    <i r="2">
      <x v="135"/>
      <x v="3"/>
    </i>
    <i t="default" r="1">
      <x v="5"/>
    </i>
    <i r="1">
      <x v="6"/>
      <x/>
      <x v="9"/>
    </i>
    <i r="2">
      <x v="5"/>
      <x v="7"/>
    </i>
    <i r="2">
      <x v="6"/>
      <x v="15"/>
    </i>
    <i r="2">
      <x v="12"/>
      <x v="15"/>
    </i>
    <i r="2">
      <x v="26"/>
      <x v="7"/>
    </i>
    <i r="2">
      <x v="27"/>
      <x v="8"/>
    </i>
    <i r="2">
      <x v="44"/>
      <x v="11"/>
    </i>
    <i t="default" r="1">
      <x v="6"/>
    </i>
    <i t="default">
      <x v="4"/>
    </i>
    <i>
      <x v="15"/>
      <x v="2"/>
      <x v="99"/>
      <x v="11"/>
    </i>
    <i r="2">
      <x v="100"/>
      <x v="15"/>
    </i>
    <i r="2">
      <x v="102"/>
      <x v="8"/>
    </i>
    <i r="3">
      <x v="15"/>
    </i>
    <i r="2">
      <x v="121"/>
      <x v="11"/>
    </i>
    <i r="2">
      <x v="138"/>
      <x v="15"/>
    </i>
    <i r="2">
      <x v="152"/>
      <x v="15"/>
    </i>
    <i t="default" r="1">
      <x v="2"/>
    </i>
    <i r="1">
      <x v="3"/>
      <x v="145"/>
      <x v="15"/>
    </i>
    <i r="2">
      <x v="155"/>
      <x v="15"/>
    </i>
    <i r="2">
      <x v="159"/>
      <x v="12"/>
    </i>
    <i r="2">
      <x v="167"/>
      <x v="15"/>
    </i>
    <i t="default" r="1">
      <x v="3"/>
    </i>
    <i r="1">
      <x v="13"/>
      <x v="111"/>
      <x v="11"/>
    </i>
    <i r="3">
      <x v="15"/>
    </i>
    <i t="default" r="1">
      <x v="13"/>
    </i>
    <i r="1">
      <x v="14"/>
      <x v="95"/>
      <x v="15"/>
    </i>
    <i r="2">
      <x v="127"/>
      <x v="15"/>
    </i>
    <i t="default" r="1">
      <x v="14"/>
    </i>
    <i r="1">
      <x v="16"/>
      <x v="97"/>
      <x v="15"/>
    </i>
    <i r="2">
      <x v="147"/>
      <x v="15"/>
    </i>
    <i r="2">
      <x v="160"/>
      <x v="15"/>
    </i>
    <i r="2">
      <x v="177"/>
      <x v="15"/>
    </i>
    <i t="default" r="1">
      <x v="16"/>
    </i>
    <i r="1">
      <x v="18"/>
      <x v="189"/>
      <x v="15"/>
    </i>
    <i t="default" r="1">
      <x v="18"/>
    </i>
    <i t="default">
      <x v="15"/>
    </i>
    <i>
      <x v="14"/>
      <x/>
      <x v="109"/>
      <x v="15"/>
    </i>
    <i r="2">
      <x v="110"/>
      <x v="11"/>
    </i>
    <i r="2">
      <x v="115"/>
      <x v="15"/>
    </i>
    <i r="2">
      <x v="140"/>
      <x v="15"/>
    </i>
    <i r="2">
      <x v="158"/>
      <x v="15"/>
    </i>
    <i t="default" r="1">
      <x/>
    </i>
    <i r="1">
      <x v="2"/>
      <x v="92"/>
      <x v="15"/>
    </i>
    <i r="2">
      <x v="106"/>
      <x v="11"/>
    </i>
    <i r="3">
      <x v="15"/>
    </i>
    <i r="2">
      <x v="186"/>
      <x v="15"/>
    </i>
    <i t="default" r="1">
      <x v="2"/>
    </i>
    <i r="1">
      <x v="13"/>
      <x v="101"/>
      <x v="15"/>
    </i>
    <i r="2">
      <x v="180"/>
      <x v="15"/>
    </i>
    <i t="default" r="1">
      <x v="13"/>
    </i>
    <i r="1">
      <x v="14"/>
      <x v="173"/>
      <x v="15"/>
    </i>
    <i t="default" r="1">
      <x v="14"/>
    </i>
    <i r="1">
      <x v="16"/>
      <x v="165"/>
      <x v="14"/>
    </i>
    <i t="default" r="1">
      <x v="16"/>
    </i>
    <i r="1">
      <x v="18"/>
      <x v="119"/>
      <x v="15"/>
    </i>
    <i r="2">
      <x v="164"/>
      <x v="11"/>
    </i>
    <i t="default" r="1">
      <x v="18"/>
    </i>
    <i r="1">
      <x v="19"/>
      <x v="163"/>
      <x v="11"/>
    </i>
    <i t="default" r="1">
      <x v="19"/>
    </i>
    <i t="default">
      <x v="14"/>
    </i>
    <i>
      <x v="6"/>
      <x v="2"/>
      <x v="134"/>
      <x v="15"/>
    </i>
    <i r="2">
      <x v="190"/>
      <x v="11"/>
    </i>
    <i r="2">
      <x v="194"/>
      <x v="15"/>
    </i>
    <i t="default" r="1">
      <x v="2"/>
    </i>
    <i r="1">
      <x v="3"/>
      <x v="2"/>
      <x v="11"/>
    </i>
    <i r="2">
      <x v="17"/>
      <x v="11"/>
    </i>
    <i r="2">
      <x v="30"/>
      <x v="7"/>
    </i>
    <i r="2">
      <x v="34"/>
      <x v="21"/>
    </i>
    <i r="2">
      <x v="54"/>
      <x v="11"/>
    </i>
    <i r="2">
      <x v="144"/>
      <x v="15"/>
    </i>
    <i r="2">
      <x v="146"/>
      <x v="15"/>
    </i>
    <i t="default" r="1">
      <x v="3"/>
    </i>
    <i r="1">
      <x v="14"/>
      <x v="192"/>
      <x v="15"/>
    </i>
    <i t="default" r="1">
      <x v="14"/>
    </i>
    <i r="1">
      <x v="22"/>
      <x v="187"/>
      <x v="11"/>
    </i>
    <i t="default" r="1">
      <x v="22"/>
    </i>
    <i t="default">
      <x v="6"/>
    </i>
    <i>
      <x v="12"/>
      <x v="2"/>
      <x v="66"/>
      <x v="15"/>
    </i>
    <i t="default" r="1">
      <x v="2"/>
    </i>
    <i r="1">
      <x v="3"/>
      <x v="85"/>
      <x v="20"/>
    </i>
    <i t="default" r="1">
      <x v="3"/>
    </i>
    <i r="1">
      <x v="13"/>
      <x v="65"/>
      <x v="11"/>
    </i>
    <i r="2">
      <x v="72"/>
      <x v="3"/>
    </i>
    <i r="2">
      <x v="74"/>
      <x v="14"/>
    </i>
    <i r="2">
      <x v="81"/>
      <x v="14"/>
    </i>
    <i r="2">
      <x v="87"/>
      <x v="12"/>
    </i>
    <i t="default" r="1">
      <x v="13"/>
    </i>
    <i r="1">
      <x v="14"/>
      <x v="70"/>
      <x v="11"/>
    </i>
    <i r="2">
      <x v="80"/>
      <x v="7"/>
    </i>
    <i t="default" r="1">
      <x v="14"/>
    </i>
    <i t="default">
      <x v="12"/>
    </i>
    <i>
      <x v="20"/>
      <x/>
      <x v="188"/>
      <x v="15"/>
    </i>
    <i t="default" r="1">
      <x/>
    </i>
    <i r="1">
      <x v="2"/>
      <x v="113"/>
      <x v="11"/>
    </i>
    <i t="default" r="1">
      <x v="2"/>
    </i>
    <i r="1">
      <x v="3"/>
      <x v="150"/>
      <x v="11"/>
    </i>
    <i t="default" r="1">
      <x v="3"/>
    </i>
    <i r="1">
      <x v="21"/>
      <x v="133"/>
      <x v="13"/>
    </i>
    <i r="3">
      <x v="16"/>
    </i>
    <i t="default" r="1">
      <x v="21"/>
    </i>
    <i t="default">
      <x v="20"/>
    </i>
    <i>
      <x v="16"/>
      <x/>
      <x/>
      <x v="8"/>
    </i>
    <i r="2">
      <x v="96"/>
      <x v="11"/>
    </i>
    <i r="2">
      <x v="116"/>
      <x v="7"/>
    </i>
    <i r="3">
      <x v="15"/>
    </i>
    <i r="2">
      <x v="124"/>
      <x v="15"/>
    </i>
    <i r="2">
      <x v="125"/>
      <x v="15"/>
    </i>
    <i r="2">
      <x v="143"/>
      <x v="19"/>
    </i>
    <i r="2">
      <x v="156"/>
      <x v="19"/>
    </i>
    <i r="2">
      <x v="171"/>
      <x v="7"/>
    </i>
    <i r="2">
      <x v="183"/>
      <x v="11"/>
    </i>
    <i t="default" r="1">
      <x/>
    </i>
    <i r="1">
      <x v="2"/>
      <x v="137"/>
      <x v="12"/>
    </i>
    <i t="default" r="1">
      <x v="2"/>
    </i>
    <i r="1">
      <x v="3"/>
      <x v="132"/>
      <x v="11"/>
    </i>
    <i t="default" r="1">
      <x v="3"/>
    </i>
    <i r="1">
      <x v="14"/>
      <x v="104"/>
      <x v="15"/>
    </i>
    <i r="2">
      <x v="174"/>
      <x v="11"/>
    </i>
    <i t="default" r="1">
      <x v="14"/>
    </i>
    <i t="default">
      <x v="16"/>
    </i>
    <i>
      <x v="11"/>
      <x/>
      <x v="64"/>
      <x v="8"/>
    </i>
    <i r="2">
      <x v="68"/>
      <x v="12"/>
    </i>
    <i r="2">
      <x v="73"/>
      <x v="15"/>
    </i>
    <i r="2">
      <x v="88"/>
      <x v="15"/>
    </i>
    <i t="default" r="1">
      <x/>
    </i>
    <i r="1">
      <x v="2"/>
      <x v="71"/>
      <x v="15"/>
    </i>
    <i t="default" r="1">
      <x v="2"/>
    </i>
    <i r="1">
      <x v="3"/>
      <x v="82"/>
      <x v="15"/>
    </i>
    <i t="default" r="1">
      <x v="3"/>
    </i>
    <i r="1">
      <x v="14"/>
      <x v="77"/>
      <x v="14"/>
    </i>
    <i r="2">
      <x v="79"/>
      <x/>
    </i>
    <i r="2">
      <x v="83"/>
      <x v="11"/>
    </i>
    <i r="2">
      <x v="84"/>
      <x v="15"/>
    </i>
    <i t="default" r="1">
      <x v="14"/>
    </i>
    <i t="default">
      <x v="11"/>
    </i>
    <i>
      <x v="17"/>
      <x v="2"/>
      <x v="131"/>
      <x v="15"/>
    </i>
    <i r="2">
      <x v="172"/>
      <x v="11"/>
    </i>
    <i t="default" r="1">
      <x v="2"/>
    </i>
    <i r="1">
      <x v="13"/>
      <x v="129"/>
      <x v="15"/>
    </i>
    <i t="default" r="1">
      <x v="13"/>
    </i>
    <i r="1">
      <x v="14"/>
      <x v="98"/>
      <x v="15"/>
    </i>
    <i r="2">
      <x v="120"/>
      <x v="11"/>
    </i>
    <i r="2">
      <x v="142"/>
      <x v="13"/>
    </i>
    <i t="default" r="1">
      <x v="14"/>
    </i>
    <i t="default">
      <x v="17"/>
    </i>
    <i>
      <x v="1"/>
      <x v="4"/>
      <x v="36"/>
      <x v="11"/>
    </i>
    <i r="2">
      <x v="45"/>
      <x v="15"/>
    </i>
    <i r="2">
      <x v="49"/>
      <x v="15"/>
    </i>
    <i r="2">
      <x v="53"/>
      <x v="15"/>
    </i>
    <i t="default" r="1">
      <x v="4"/>
    </i>
    <i t="default">
      <x v="1"/>
    </i>
    <i>
      <x v="10"/>
      <x v="12"/>
      <x v="63"/>
      <x v="15"/>
    </i>
    <i r="2">
      <x v="67"/>
      <x v="15"/>
    </i>
    <i r="2">
      <x v="75"/>
      <x v="15"/>
    </i>
    <i t="default" r="1">
      <x v="12"/>
    </i>
    <i t="default">
      <x v="10"/>
    </i>
    <i>
      <x v="9"/>
      <x v="1"/>
      <x v="62"/>
      <x v="15"/>
    </i>
    <i t="default" r="1">
      <x v="1"/>
    </i>
    <i t="default">
      <x v="9"/>
    </i>
    <i>
      <x v="19"/>
      <x v="11"/>
      <x v="108"/>
      <x v="15"/>
    </i>
    <i r="2">
      <x v="151"/>
      <x v="15"/>
    </i>
    <i t="default" r="1">
      <x v="11"/>
    </i>
    <i t="default">
      <x v="19"/>
    </i>
    <i>
      <x/>
      <x v="1"/>
      <x v="8"/>
      <x v="11"/>
    </i>
    <i r="2">
      <x v="10"/>
      <x v="15"/>
    </i>
    <i t="default" r="1">
      <x v="1"/>
    </i>
    <i t="default">
      <x/>
    </i>
    <i>
      <x v="21"/>
      <x v="5"/>
      <x v="178"/>
      <x v="7"/>
    </i>
    <i r="2">
      <x v="184"/>
      <x v="7"/>
    </i>
    <i t="default" r="1">
      <x v="5"/>
    </i>
    <i r="1">
      <x v="12"/>
      <x/>
      <x v="11"/>
    </i>
    <i t="default" r="1">
      <x v="12"/>
    </i>
    <i t="default">
      <x v="21"/>
    </i>
    <i>
      <x v="18"/>
      <x v="17"/>
      <x v="103"/>
      <x v="27"/>
    </i>
    <i t="default" r="1">
      <x v="17"/>
    </i>
    <i t="default">
      <x v="18"/>
    </i>
    <i t="grand">
      <x/>
    </i>
  </rowItems>
  <colFields count="1">
    <field x="-2"/>
  </colFields>
  <colItems count="5">
    <i>
      <x/>
    </i>
    <i i="1">
      <x v="1"/>
    </i>
    <i i="2">
      <x v="2"/>
    </i>
    <i i="3">
      <x v="3"/>
    </i>
    <i i="4">
      <x v="4"/>
    </i>
  </colItems>
  <dataFields count="5">
    <dataField name="NI" fld="22" subtotal="count" baseField="0" baseItem="0"/>
    <dataField name="SAIDI" fld="27" baseField="8" baseItem="0"/>
    <dataField name="Duracion" fld="24" baseField="19" baseItem="15"/>
    <dataField name="Suma de DEMUA" fld="23" baseField="19" baseItem="15"/>
    <dataField name="Usuarios afec" fld="15" baseField="19" baseItem="15"/>
  </dataFields>
  <formats count="471">
    <format dxfId="470">
      <pivotArea field="8" type="button" dataOnly="0" labelOnly="1" outline="0" axis="axisRow" fieldPosition="0"/>
    </format>
    <format dxfId="469">
      <pivotArea dataOnly="0" labelOnly="1" outline="0" fieldPosition="0">
        <references count="1">
          <reference field="4294967294" count="2">
            <x v="0"/>
            <x v="1"/>
          </reference>
        </references>
      </pivotArea>
    </format>
    <format dxfId="468">
      <pivotArea type="all" dataOnly="0" outline="0" fieldPosition="0"/>
    </format>
    <format dxfId="467">
      <pivotArea outline="0" collapsedLevelsAreSubtotals="1" fieldPosition="0"/>
    </format>
    <format dxfId="466">
      <pivotArea field="8" type="button" dataOnly="0" labelOnly="1" outline="0" axis="axisRow" fieldPosition="0"/>
    </format>
    <format dxfId="465">
      <pivotArea field="9" type="button" dataOnly="0" labelOnly="1" outline="0" axis="axisRow" fieldPosition="1"/>
    </format>
    <format dxfId="464">
      <pivotArea field="16" type="button" dataOnly="0" labelOnly="1" outline="0" axis="axisRow" fieldPosition="2"/>
    </format>
    <format dxfId="463">
      <pivotArea field="19" type="button" dataOnly="0" labelOnly="1" outline="0" axis="axisRow" fieldPosition="3"/>
    </format>
    <format dxfId="462">
      <pivotArea dataOnly="0" labelOnly="1" fieldPosition="0">
        <references count="1">
          <reference field="8" count="0"/>
        </references>
      </pivotArea>
    </format>
    <format dxfId="461">
      <pivotArea dataOnly="0" labelOnly="1" fieldPosition="0">
        <references count="1">
          <reference field="8" count="0" defaultSubtotal="1"/>
        </references>
      </pivotArea>
    </format>
    <format dxfId="460">
      <pivotArea dataOnly="0" labelOnly="1" grandRow="1" outline="0" fieldPosition="0"/>
    </format>
    <format dxfId="459">
      <pivotArea dataOnly="0" labelOnly="1" fieldPosition="0">
        <references count="2">
          <reference field="8" count="1" selected="0">
            <x v="0"/>
          </reference>
          <reference field="9" count="1">
            <x v="1"/>
          </reference>
        </references>
      </pivotArea>
    </format>
    <format dxfId="458">
      <pivotArea dataOnly="0" labelOnly="1" fieldPosition="0">
        <references count="2">
          <reference field="8" count="1" selected="0">
            <x v="0"/>
          </reference>
          <reference field="9" count="1" defaultSubtotal="1">
            <x v="1"/>
          </reference>
        </references>
      </pivotArea>
    </format>
    <format dxfId="457">
      <pivotArea dataOnly="0" labelOnly="1" fieldPosition="0">
        <references count="2">
          <reference field="8" count="1" selected="0">
            <x v="1"/>
          </reference>
          <reference field="9" count="1">
            <x v="4"/>
          </reference>
        </references>
      </pivotArea>
    </format>
    <format dxfId="456">
      <pivotArea dataOnly="0" labelOnly="1" fieldPosition="0">
        <references count="2">
          <reference field="8" count="1" selected="0">
            <x v="1"/>
          </reference>
          <reference field="9" count="1" defaultSubtotal="1">
            <x v="4"/>
          </reference>
        </references>
      </pivotArea>
    </format>
    <format dxfId="455">
      <pivotArea dataOnly="0" labelOnly="1" fieldPosition="0">
        <references count="2">
          <reference field="8" count="1" selected="0">
            <x v="2"/>
          </reference>
          <reference field="9" count="5">
            <x v="0"/>
            <x v="2"/>
            <x v="3"/>
            <x v="8"/>
            <x v="9"/>
          </reference>
        </references>
      </pivotArea>
    </format>
    <format dxfId="454">
      <pivotArea dataOnly="0" labelOnly="1" fieldPosition="0">
        <references count="2">
          <reference field="8" count="1" selected="0">
            <x v="2"/>
          </reference>
          <reference field="9" count="5" defaultSubtotal="1">
            <x v="0"/>
            <x v="2"/>
            <x v="3"/>
            <x v="8"/>
            <x v="9"/>
          </reference>
        </references>
      </pivotArea>
    </format>
    <format dxfId="453">
      <pivotArea dataOnly="0" labelOnly="1" fieldPosition="0">
        <references count="2">
          <reference field="8" count="1" selected="0">
            <x v="3"/>
          </reference>
          <reference field="9" count="3">
            <x v="0"/>
            <x v="3"/>
            <x v="8"/>
          </reference>
        </references>
      </pivotArea>
    </format>
    <format dxfId="452">
      <pivotArea dataOnly="0" labelOnly="1" fieldPosition="0">
        <references count="2">
          <reference field="8" count="1" selected="0">
            <x v="3"/>
          </reference>
          <reference field="9" count="3" defaultSubtotal="1">
            <x v="0"/>
            <x v="3"/>
            <x v="8"/>
          </reference>
        </references>
      </pivotArea>
    </format>
    <format dxfId="451">
      <pivotArea dataOnly="0" labelOnly="1" fieldPosition="0">
        <references count="2">
          <reference field="8" count="1" selected="0">
            <x v="4"/>
          </reference>
          <reference field="9" count="2">
            <x v="5"/>
            <x v="6"/>
          </reference>
        </references>
      </pivotArea>
    </format>
    <format dxfId="450">
      <pivotArea dataOnly="0" labelOnly="1" fieldPosition="0">
        <references count="2">
          <reference field="8" count="1" selected="0">
            <x v="4"/>
          </reference>
          <reference field="9" count="2" defaultSubtotal="1">
            <x v="5"/>
            <x v="6"/>
          </reference>
        </references>
      </pivotArea>
    </format>
    <format dxfId="449">
      <pivotArea dataOnly="0" labelOnly="1" fieldPosition="0">
        <references count="2">
          <reference field="8" count="1" selected="0">
            <x v="5"/>
          </reference>
          <reference field="9" count="1">
            <x v="7"/>
          </reference>
        </references>
      </pivotArea>
    </format>
    <format dxfId="448">
      <pivotArea dataOnly="0" labelOnly="1" fieldPosition="0">
        <references count="2">
          <reference field="8" count="1" selected="0">
            <x v="5"/>
          </reference>
          <reference field="9" count="1" defaultSubtotal="1">
            <x v="7"/>
          </reference>
        </references>
      </pivotArea>
    </format>
    <format dxfId="447">
      <pivotArea dataOnly="0" labelOnly="1" fieldPosition="0">
        <references count="2">
          <reference field="8" count="1" selected="0">
            <x v="6"/>
          </reference>
          <reference field="9" count="1">
            <x v="3"/>
          </reference>
        </references>
      </pivotArea>
    </format>
    <format dxfId="446">
      <pivotArea dataOnly="0" labelOnly="1" fieldPosition="0">
        <references count="2">
          <reference field="8" count="1" selected="0">
            <x v="6"/>
          </reference>
          <reference field="9" count="1" defaultSubtotal="1">
            <x v="3"/>
          </reference>
        </references>
      </pivotArea>
    </format>
    <format dxfId="445">
      <pivotArea dataOnly="0" labelOnly="1" fieldPosition="0">
        <references count="2">
          <reference field="8" count="1" selected="0">
            <x v="7"/>
          </reference>
          <reference field="9" count="1">
            <x v="10"/>
          </reference>
        </references>
      </pivotArea>
    </format>
    <format dxfId="444">
      <pivotArea dataOnly="0" labelOnly="1" fieldPosition="0">
        <references count="2">
          <reference field="8" count="1" selected="0">
            <x v="7"/>
          </reference>
          <reference field="9" count="1" defaultSubtotal="1">
            <x v="10"/>
          </reference>
        </references>
      </pivotArea>
    </format>
    <format dxfId="443">
      <pivotArea dataOnly="0" labelOnly="1" fieldPosition="0">
        <references count="3">
          <reference field="8" count="1" selected="0">
            <x v="0"/>
          </reference>
          <reference field="9" count="1" selected="0">
            <x v="1"/>
          </reference>
          <reference field="16" count="2">
            <x v="8"/>
            <x v="10"/>
          </reference>
        </references>
      </pivotArea>
    </format>
    <format dxfId="442">
      <pivotArea dataOnly="0" labelOnly="1" fieldPosition="0">
        <references count="3">
          <reference field="8" count="1" selected="0">
            <x v="1"/>
          </reference>
          <reference field="9" count="1" selected="0">
            <x v="4"/>
          </reference>
          <reference field="16" count="4">
            <x v="36"/>
            <x v="45"/>
            <x v="49"/>
            <x v="53"/>
          </reference>
        </references>
      </pivotArea>
    </format>
    <format dxfId="441">
      <pivotArea dataOnly="0" labelOnly="1" fieldPosition="0">
        <references count="3">
          <reference field="8" count="1" selected="0">
            <x v="2"/>
          </reference>
          <reference field="9" count="1" selected="0">
            <x v="0"/>
          </reference>
          <reference field="16" count="11">
            <x v="0"/>
            <x v="4"/>
            <x v="7"/>
            <x v="19"/>
            <x v="38"/>
            <x v="39"/>
            <x v="42"/>
            <x v="43"/>
            <x v="47"/>
            <x v="52"/>
            <x v="58"/>
          </reference>
        </references>
      </pivotArea>
    </format>
    <format dxfId="440">
      <pivotArea dataOnly="0" labelOnly="1" fieldPosition="0">
        <references count="3">
          <reference field="8" count="1" selected="0">
            <x v="2"/>
          </reference>
          <reference field="9" count="1" selected="0">
            <x v="2"/>
          </reference>
          <reference field="16" count="6">
            <x v="14"/>
            <x v="20"/>
            <x v="29"/>
            <x v="40"/>
            <x v="46"/>
            <x v="51"/>
          </reference>
        </references>
      </pivotArea>
    </format>
    <format dxfId="439">
      <pivotArea dataOnly="0" labelOnly="1" fieldPosition="0">
        <references count="3">
          <reference field="8" count="1" selected="0">
            <x v="2"/>
          </reference>
          <reference field="9" count="1" selected="0">
            <x v="3"/>
          </reference>
          <reference field="16" count="5">
            <x v="9"/>
            <x v="13"/>
            <x v="16"/>
            <x v="48"/>
            <x v="50"/>
          </reference>
        </references>
      </pivotArea>
    </format>
    <format dxfId="438">
      <pivotArea dataOnly="0" labelOnly="1" fieldPosition="0">
        <references count="3">
          <reference field="8" count="1" selected="0">
            <x v="2"/>
          </reference>
          <reference field="9" count="1" selected="0">
            <x v="8"/>
          </reference>
          <reference field="16" count="3">
            <x v="21"/>
            <x v="22"/>
            <x v="23"/>
          </reference>
        </references>
      </pivotArea>
    </format>
    <format dxfId="437">
      <pivotArea dataOnly="0" labelOnly="1" fieldPosition="0">
        <references count="3">
          <reference field="8" count="1" selected="0">
            <x v="2"/>
          </reference>
          <reference field="9" count="1" selected="0">
            <x v="9"/>
          </reference>
          <reference field="16" count="1">
            <x v="0"/>
          </reference>
        </references>
      </pivotArea>
    </format>
    <format dxfId="436">
      <pivotArea dataOnly="0" labelOnly="1" fieldPosition="0">
        <references count="3">
          <reference field="8" count="1" selected="0">
            <x v="3"/>
          </reference>
          <reference field="9" count="1" selected="0">
            <x v="0"/>
          </reference>
          <reference field="16" count="11">
            <x v="1"/>
            <x v="15"/>
            <x v="28"/>
            <x v="31"/>
            <x v="32"/>
            <x v="33"/>
            <x v="37"/>
            <x v="41"/>
            <x v="55"/>
            <x v="56"/>
            <x v="57"/>
          </reference>
        </references>
      </pivotArea>
    </format>
    <format dxfId="435">
      <pivotArea dataOnly="0" labelOnly="1" fieldPosition="0">
        <references count="3">
          <reference field="8" count="1" selected="0">
            <x v="3"/>
          </reference>
          <reference field="9" count="1" selected="0">
            <x v="3"/>
          </reference>
          <reference field="16" count="1">
            <x v="11"/>
          </reference>
        </references>
      </pivotArea>
    </format>
    <format dxfId="434">
      <pivotArea dataOnly="0" labelOnly="1" fieldPosition="0">
        <references count="3">
          <reference field="8" count="1" selected="0">
            <x v="3"/>
          </reference>
          <reference field="9" count="1" selected="0">
            <x v="8"/>
          </reference>
          <reference field="16" count="1">
            <x v="18"/>
          </reference>
        </references>
      </pivotArea>
    </format>
    <format dxfId="433">
      <pivotArea dataOnly="0" labelOnly="1" fieldPosition="0">
        <references count="3">
          <reference field="8" count="1" selected="0">
            <x v="4"/>
          </reference>
          <reference field="9" count="1" selected="0">
            <x v="5"/>
          </reference>
          <reference field="16" count="1">
            <x v="44"/>
          </reference>
        </references>
      </pivotArea>
    </format>
    <format dxfId="432">
      <pivotArea dataOnly="0" labelOnly="1" fieldPosition="0">
        <references count="3">
          <reference field="8" count="1" selected="0">
            <x v="4"/>
          </reference>
          <reference field="9" count="1" selected="0">
            <x v="6"/>
          </reference>
          <reference field="16" count="6">
            <x v="5"/>
            <x v="6"/>
            <x v="12"/>
            <x v="26"/>
            <x v="27"/>
            <x v="44"/>
          </reference>
        </references>
      </pivotArea>
    </format>
    <format dxfId="431">
      <pivotArea dataOnly="0" labelOnly="1" fieldPosition="0">
        <references count="3">
          <reference field="8" count="1" selected="0">
            <x v="5"/>
          </reference>
          <reference field="9" count="1" selected="0">
            <x v="7"/>
          </reference>
          <reference field="16" count="4">
            <x v="3"/>
            <x v="24"/>
            <x v="25"/>
            <x v="35"/>
          </reference>
        </references>
      </pivotArea>
    </format>
    <format dxfId="430">
      <pivotArea dataOnly="0" labelOnly="1" fieldPosition="0">
        <references count="3">
          <reference field="8" count="1" selected="0">
            <x v="6"/>
          </reference>
          <reference field="9" count="1" selected="0">
            <x v="3"/>
          </reference>
          <reference field="16" count="5">
            <x v="2"/>
            <x v="17"/>
            <x v="30"/>
            <x v="34"/>
            <x v="54"/>
          </reference>
        </references>
      </pivotArea>
    </format>
    <format dxfId="429">
      <pivotArea dataOnly="0" labelOnly="1" fieldPosition="0">
        <references count="3">
          <reference field="8" count="1" selected="0">
            <x v="7"/>
          </reference>
          <reference field="9" count="1" selected="0">
            <x v="10"/>
          </reference>
          <reference field="16" count="1">
            <x v="59"/>
          </reference>
        </references>
      </pivotArea>
    </format>
    <format dxfId="428">
      <pivotArea dataOnly="0" labelOnly="1" outline="0" fieldPosition="0">
        <references count="4">
          <reference field="8" count="1" selected="0">
            <x v="0"/>
          </reference>
          <reference field="9" count="1" selected="0">
            <x v="1"/>
          </reference>
          <reference field="16" count="1" selected="0">
            <x v="8"/>
          </reference>
          <reference field="19" count="1">
            <x v="11"/>
          </reference>
        </references>
      </pivotArea>
    </format>
    <format dxfId="427">
      <pivotArea dataOnly="0" labelOnly="1" outline="0" fieldPosition="0">
        <references count="4">
          <reference field="8" count="1" selected="0">
            <x v="0"/>
          </reference>
          <reference field="9" count="1" selected="0">
            <x v="1"/>
          </reference>
          <reference field="16" count="1" selected="0">
            <x v="10"/>
          </reference>
          <reference field="19" count="1">
            <x v="15"/>
          </reference>
        </references>
      </pivotArea>
    </format>
    <format dxfId="426">
      <pivotArea dataOnly="0" labelOnly="1" outline="0" fieldPosition="0">
        <references count="4">
          <reference field="8" count="1" selected="0">
            <x v="1"/>
          </reference>
          <reference field="9" count="1" selected="0">
            <x v="4"/>
          </reference>
          <reference field="16" count="1" selected="0">
            <x v="36"/>
          </reference>
          <reference field="19" count="1">
            <x v="11"/>
          </reference>
        </references>
      </pivotArea>
    </format>
    <format dxfId="425">
      <pivotArea dataOnly="0" labelOnly="1" outline="0" fieldPosition="0">
        <references count="4">
          <reference field="8" count="1" selected="0">
            <x v="1"/>
          </reference>
          <reference field="9" count="1" selected="0">
            <x v="4"/>
          </reference>
          <reference field="16" count="1" selected="0">
            <x v="45"/>
          </reference>
          <reference field="19" count="1">
            <x v="15"/>
          </reference>
        </references>
      </pivotArea>
    </format>
    <format dxfId="424">
      <pivotArea dataOnly="0" labelOnly="1" outline="0" fieldPosition="0">
        <references count="4">
          <reference field="8" count="1" selected="0">
            <x v="1"/>
          </reference>
          <reference field="9" count="1" selected="0">
            <x v="4"/>
          </reference>
          <reference field="16" count="1" selected="0">
            <x v="49"/>
          </reference>
          <reference field="19" count="1">
            <x v="15"/>
          </reference>
        </references>
      </pivotArea>
    </format>
    <format dxfId="423">
      <pivotArea dataOnly="0" labelOnly="1" outline="0" fieldPosition="0">
        <references count="4">
          <reference field="8" count="1" selected="0">
            <x v="1"/>
          </reference>
          <reference field="9" count="1" selected="0">
            <x v="4"/>
          </reference>
          <reference field="16" count="1" selected="0">
            <x v="53"/>
          </reference>
          <reference field="19" count="1">
            <x v="15"/>
          </reference>
        </references>
      </pivotArea>
    </format>
    <format dxfId="422">
      <pivotArea dataOnly="0" labelOnly="1" outline="0" fieldPosition="0">
        <references count="4">
          <reference field="8" count="1" selected="0">
            <x v="2"/>
          </reference>
          <reference field="9" count="1" selected="0">
            <x v="0"/>
          </reference>
          <reference field="16" count="1" selected="0">
            <x v="0"/>
          </reference>
          <reference field="19" count="1">
            <x v="19"/>
          </reference>
        </references>
      </pivotArea>
    </format>
    <format dxfId="421">
      <pivotArea dataOnly="0" labelOnly="1" outline="0" fieldPosition="0">
        <references count="4">
          <reference field="8" count="1" selected="0">
            <x v="2"/>
          </reference>
          <reference field="9" count="1" selected="0">
            <x v="0"/>
          </reference>
          <reference field="16" count="1" selected="0">
            <x v="4"/>
          </reference>
          <reference field="19" count="2">
            <x v="14"/>
            <x v="15"/>
          </reference>
        </references>
      </pivotArea>
    </format>
    <format dxfId="420">
      <pivotArea dataOnly="0" labelOnly="1" outline="0" fieldPosition="0">
        <references count="4">
          <reference field="8" count="1" selected="0">
            <x v="2"/>
          </reference>
          <reference field="9" count="1" selected="0">
            <x v="0"/>
          </reference>
          <reference field="16" count="1" selected="0">
            <x v="7"/>
          </reference>
          <reference field="19" count="1">
            <x v="15"/>
          </reference>
        </references>
      </pivotArea>
    </format>
    <format dxfId="419">
      <pivotArea dataOnly="0" labelOnly="1" outline="0" fieldPosition="0">
        <references count="4">
          <reference field="8" count="1" selected="0">
            <x v="2"/>
          </reference>
          <reference field="9" count="1" selected="0">
            <x v="0"/>
          </reference>
          <reference field="16" count="1" selected="0">
            <x v="19"/>
          </reference>
          <reference field="19" count="2">
            <x v="6"/>
            <x v="15"/>
          </reference>
        </references>
      </pivotArea>
    </format>
    <format dxfId="418">
      <pivotArea dataOnly="0" labelOnly="1" outline="0" fieldPosition="0">
        <references count="4">
          <reference field="8" count="1" selected="0">
            <x v="2"/>
          </reference>
          <reference field="9" count="1" selected="0">
            <x v="0"/>
          </reference>
          <reference field="16" count="1" selected="0">
            <x v="38"/>
          </reference>
          <reference field="19" count="1">
            <x v="15"/>
          </reference>
        </references>
      </pivotArea>
    </format>
    <format dxfId="417">
      <pivotArea dataOnly="0" labelOnly="1" outline="0" fieldPosition="0">
        <references count="4">
          <reference field="8" count="1" selected="0">
            <x v="2"/>
          </reference>
          <reference field="9" count="1" selected="0">
            <x v="0"/>
          </reference>
          <reference field="16" count="1" selected="0">
            <x v="39"/>
          </reference>
          <reference field="19" count="1">
            <x v="15"/>
          </reference>
        </references>
      </pivotArea>
    </format>
    <format dxfId="416">
      <pivotArea dataOnly="0" labelOnly="1" outline="0" fieldPosition="0">
        <references count="4">
          <reference field="8" count="1" selected="0">
            <x v="2"/>
          </reference>
          <reference field="9" count="1" selected="0">
            <x v="0"/>
          </reference>
          <reference field="16" count="1" selected="0">
            <x v="42"/>
          </reference>
          <reference field="19" count="1">
            <x v="15"/>
          </reference>
        </references>
      </pivotArea>
    </format>
    <format dxfId="415">
      <pivotArea dataOnly="0" labelOnly="1" outline="0" fieldPosition="0">
        <references count="4">
          <reference field="8" count="1" selected="0">
            <x v="2"/>
          </reference>
          <reference field="9" count="1" selected="0">
            <x v="0"/>
          </reference>
          <reference field="16" count="1" selected="0">
            <x v="43"/>
          </reference>
          <reference field="19" count="1">
            <x v="15"/>
          </reference>
        </references>
      </pivotArea>
    </format>
    <format dxfId="414">
      <pivotArea dataOnly="0" labelOnly="1" outline="0" fieldPosition="0">
        <references count="4">
          <reference field="8" count="1" selected="0">
            <x v="2"/>
          </reference>
          <reference field="9" count="1" selected="0">
            <x v="0"/>
          </reference>
          <reference field="16" count="1" selected="0">
            <x v="47"/>
          </reference>
          <reference field="19" count="1">
            <x v="15"/>
          </reference>
        </references>
      </pivotArea>
    </format>
    <format dxfId="413">
      <pivotArea dataOnly="0" labelOnly="1" outline="0" fieldPosition="0">
        <references count="4">
          <reference field="8" count="1" selected="0">
            <x v="2"/>
          </reference>
          <reference field="9" count="1" selected="0">
            <x v="0"/>
          </reference>
          <reference field="16" count="1" selected="0">
            <x v="52"/>
          </reference>
          <reference field="19" count="1">
            <x v="15"/>
          </reference>
        </references>
      </pivotArea>
    </format>
    <format dxfId="412">
      <pivotArea dataOnly="0" labelOnly="1" outline="0" fieldPosition="0">
        <references count="4">
          <reference field="8" count="1" selected="0">
            <x v="2"/>
          </reference>
          <reference field="9" count="1" selected="0">
            <x v="0"/>
          </reference>
          <reference field="16" count="1" selected="0">
            <x v="58"/>
          </reference>
          <reference field="19" count="1">
            <x v="15"/>
          </reference>
        </references>
      </pivotArea>
    </format>
    <format dxfId="411">
      <pivotArea dataOnly="0" labelOnly="1" outline="0" fieldPosition="0">
        <references count="4">
          <reference field="8" count="1" selected="0">
            <x v="2"/>
          </reference>
          <reference field="9" count="1" selected="0">
            <x v="2"/>
          </reference>
          <reference field="16" count="1" selected="0">
            <x v="14"/>
          </reference>
          <reference field="19" count="1">
            <x v="12"/>
          </reference>
        </references>
      </pivotArea>
    </format>
    <format dxfId="410">
      <pivotArea dataOnly="0" labelOnly="1" outline="0" fieldPosition="0">
        <references count="4">
          <reference field="8" count="1" selected="0">
            <x v="2"/>
          </reference>
          <reference field="9" count="1" selected="0">
            <x v="2"/>
          </reference>
          <reference field="16" count="1" selected="0">
            <x v="20"/>
          </reference>
          <reference field="19" count="1">
            <x v="19"/>
          </reference>
        </references>
      </pivotArea>
    </format>
    <format dxfId="409">
      <pivotArea dataOnly="0" labelOnly="1" outline="0" fieldPosition="0">
        <references count="4">
          <reference field="8" count="1" selected="0">
            <x v="2"/>
          </reference>
          <reference field="9" count="1" selected="0">
            <x v="2"/>
          </reference>
          <reference field="16" count="1" selected="0">
            <x v="29"/>
          </reference>
          <reference field="19" count="1">
            <x v="15"/>
          </reference>
        </references>
      </pivotArea>
    </format>
    <format dxfId="408">
      <pivotArea dataOnly="0" labelOnly="1" outline="0" fieldPosition="0">
        <references count="4">
          <reference field="8" count="1" selected="0">
            <x v="2"/>
          </reference>
          <reference field="9" count="1" selected="0">
            <x v="2"/>
          </reference>
          <reference field="16" count="1" selected="0">
            <x v="40"/>
          </reference>
          <reference field="19" count="2">
            <x v="15"/>
            <x v="20"/>
          </reference>
        </references>
      </pivotArea>
    </format>
    <format dxfId="407">
      <pivotArea dataOnly="0" labelOnly="1" outline="0" fieldPosition="0">
        <references count="4">
          <reference field="8" count="1" selected="0">
            <x v="2"/>
          </reference>
          <reference field="9" count="1" selected="0">
            <x v="2"/>
          </reference>
          <reference field="16" count="1" selected="0">
            <x v="46"/>
          </reference>
          <reference field="19" count="1">
            <x v="15"/>
          </reference>
        </references>
      </pivotArea>
    </format>
    <format dxfId="406">
      <pivotArea dataOnly="0" labelOnly="1" outline="0" fieldPosition="0">
        <references count="4">
          <reference field="8" count="1" selected="0">
            <x v="2"/>
          </reference>
          <reference field="9" count="1" selected="0">
            <x v="2"/>
          </reference>
          <reference field="16" count="1" selected="0">
            <x v="51"/>
          </reference>
          <reference field="19" count="1">
            <x v="15"/>
          </reference>
        </references>
      </pivotArea>
    </format>
    <format dxfId="405">
      <pivotArea dataOnly="0" labelOnly="1" outline="0" fieldPosition="0">
        <references count="4">
          <reference field="8" count="1" selected="0">
            <x v="2"/>
          </reference>
          <reference field="9" count="1" selected="0">
            <x v="3"/>
          </reference>
          <reference field="16" count="1" selected="0">
            <x v="9"/>
          </reference>
          <reference field="19" count="1">
            <x v="15"/>
          </reference>
        </references>
      </pivotArea>
    </format>
    <format dxfId="404">
      <pivotArea dataOnly="0" labelOnly="1" outline="0" fieldPosition="0">
        <references count="4">
          <reference field="8" count="1" selected="0">
            <x v="2"/>
          </reference>
          <reference field="9" count="1" selected="0">
            <x v="3"/>
          </reference>
          <reference field="16" count="1" selected="0">
            <x v="13"/>
          </reference>
          <reference field="19" count="1">
            <x v="15"/>
          </reference>
        </references>
      </pivotArea>
    </format>
    <format dxfId="403">
      <pivotArea dataOnly="0" labelOnly="1" outline="0" fieldPosition="0">
        <references count="4">
          <reference field="8" count="1" selected="0">
            <x v="2"/>
          </reference>
          <reference field="9" count="1" selected="0">
            <x v="3"/>
          </reference>
          <reference field="16" count="1" selected="0">
            <x v="16"/>
          </reference>
          <reference field="19" count="1">
            <x v="11"/>
          </reference>
        </references>
      </pivotArea>
    </format>
    <format dxfId="402">
      <pivotArea dataOnly="0" labelOnly="1" outline="0" fieldPosition="0">
        <references count="4">
          <reference field="8" count="1" selected="0">
            <x v="2"/>
          </reference>
          <reference field="9" count="1" selected="0">
            <x v="3"/>
          </reference>
          <reference field="16" count="1" selected="0">
            <x v="48"/>
          </reference>
          <reference field="19" count="2">
            <x v="11"/>
            <x v="15"/>
          </reference>
        </references>
      </pivotArea>
    </format>
    <format dxfId="401">
      <pivotArea dataOnly="0" labelOnly="1" outline="0" fieldPosition="0">
        <references count="4">
          <reference field="8" count="1" selected="0">
            <x v="2"/>
          </reference>
          <reference field="9" count="1" selected="0">
            <x v="3"/>
          </reference>
          <reference field="16" count="1" selected="0">
            <x v="50"/>
          </reference>
          <reference field="19" count="1">
            <x v="11"/>
          </reference>
        </references>
      </pivotArea>
    </format>
    <format dxfId="400">
      <pivotArea dataOnly="0" labelOnly="1" outline="0" fieldPosition="0">
        <references count="4">
          <reference field="8" count="1" selected="0">
            <x v="2"/>
          </reference>
          <reference field="9" count="1" selected="0">
            <x v="8"/>
          </reference>
          <reference field="16" count="1" selected="0">
            <x v="21"/>
          </reference>
          <reference field="19" count="1">
            <x v="15"/>
          </reference>
        </references>
      </pivotArea>
    </format>
    <format dxfId="399">
      <pivotArea dataOnly="0" labelOnly="1" outline="0" fieldPosition="0">
        <references count="4">
          <reference field="8" count="1" selected="0">
            <x v="2"/>
          </reference>
          <reference field="9" count="1" selected="0">
            <x v="8"/>
          </reference>
          <reference field="16" count="1" selected="0">
            <x v="22"/>
          </reference>
          <reference field="19" count="1">
            <x v="11"/>
          </reference>
        </references>
      </pivotArea>
    </format>
    <format dxfId="398">
      <pivotArea dataOnly="0" labelOnly="1" outline="0" fieldPosition="0">
        <references count="4">
          <reference field="8" count="1" selected="0">
            <x v="2"/>
          </reference>
          <reference field="9" count="1" selected="0">
            <x v="8"/>
          </reference>
          <reference field="16" count="1" selected="0">
            <x v="23"/>
          </reference>
          <reference field="19" count="1">
            <x v="11"/>
          </reference>
        </references>
      </pivotArea>
    </format>
    <format dxfId="397">
      <pivotArea dataOnly="0" labelOnly="1" outline="0" fieldPosition="0">
        <references count="4">
          <reference field="8" count="1" selected="0">
            <x v="2"/>
          </reference>
          <reference field="9" count="1" selected="0">
            <x v="9"/>
          </reference>
          <reference field="16" count="1" selected="0">
            <x v="0"/>
          </reference>
          <reference field="19" count="1">
            <x v="26"/>
          </reference>
        </references>
      </pivotArea>
    </format>
    <format dxfId="396">
      <pivotArea dataOnly="0" labelOnly="1" outline="0" fieldPosition="0">
        <references count="4">
          <reference field="8" count="1" selected="0">
            <x v="3"/>
          </reference>
          <reference field="9" count="1" selected="0">
            <x v="0"/>
          </reference>
          <reference field="16" count="1" selected="0">
            <x v="1"/>
          </reference>
          <reference field="19" count="2">
            <x v="0"/>
            <x v="15"/>
          </reference>
        </references>
      </pivotArea>
    </format>
    <format dxfId="395">
      <pivotArea dataOnly="0" labelOnly="1" outline="0" fieldPosition="0">
        <references count="4">
          <reference field="8" count="1" selected="0">
            <x v="3"/>
          </reference>
          <reference field="9" count="1" selected="0">
            <x v="0"/>
          </reference>
          <reference field="16" count="1" selected="0">
            <x v="15"/>
          </reference>
          <reference field="19" count="1">
            <x v="15"/>
          </reference>
        </references>
      </pivotArea>
    </format>
    <format dxfId="394">
      <pivotArea dataOnly="0" labelOnly="1" outline="0" fieldPosition="0">
        <references count="4">
          <reference field="8" count="1" selected="0">
            <x v="3"/>
          </reference>
          <reference field="9" count="1" selected="0">
            <x v="0"/>
          </reference>
          <reference field="16" count="1" selected="0">
            <x v="28"/>
          </reference>
          <reference field="19" count="1">
            <x v="11"/>
          </reference>
        </references>
      </pivotArea>
    </format>
    <format dxfId="393">
      <pivotArea dataOnly="0" labelOnly="1" outline="0" fieldPosition="0">
        <references count="4">
          <reference field="8" count="1" selected="0">
            <x v="3"/>
          </reference>
          <reference field="9" count="1" selected="0">
            <x v="0"/>
          </reference>
          <reference field="16" count="1" selected="0">
            <x v="31"/>
          </reference>
          <reference field="19" count="2">
            <x v="11"/>
            <x v="12"/>
          </reference>
        </references>
      </pivotArea>
    </format>
    <format dxfId="392">
      <pivotArea dataOnly="0" labelOnly="1" outline="0" fieldPosition="0">
        <references count="4">
          <reference field="8" count="1" selected="0">
            <x v="3"/>
          </reference>
          <reference field="9" count="1" selected="0">
            <x v="0"/>
          </reference>
          <reference field="16" count="1" selected="0">
            <x v="32"/>
          </reference>
          <reference field="19" count="1">
            <x v="8"/>
          </reference>
        </references>
      </pivotArea>
    </format>
    <format dxfId="391">
      <pivotArea dataOnly="0" labelOnly="1" outline="0" fieldPosition="0">
        <references count="4">
          <reference field="8" count="1" selected="0">
            <x v="3"/>
          </reference>
          <reference field="9" count="1" selected="0">
            <x v="0"/>
          </reference>
          <reference field="16" count="1" selected="0">
            <x v="33"/>
          </reference>
          <reference field="19" count="1">
            <x v="11"/>
          </reference>
        </references>
      </pivotArea>
    </format>
    <format dxfId="390">
      <pivotArea dataOnly="0" labelOnly="1" outline="0" fieldPosition="0">
        <references count="4">
          <reference field="8" count="1" selected="0">
            <x v="3"/>
          </reference>
          <reference field="9" count="1" selected="0">
            <x v="0"/>
          </reference>
          <reference field="16" count="1" selected="0">
            <x v="37"/>
          </reference>
          <reference field="19" count="1">
            <x v="15"/>
          </reference>
        </references>
      </pivotArea>
    </format>
    <format dxfId="389">
      <pivotArea dataOnly="0" labelOnly="1" outline="0" fieldPosition="0">
        <references count="4">
          <reference field="8" count="1" selected="0">
            <x v="3"/>
          </reference>
          <reference field="9" count="1" selected="0">
            <x v="0"/>
          </reference>
          <reference field="16" count="1" selected="0">
            <x v="41"/>
          </reference>
          <reference field="19" count="1">
            <x v="11"/>
          </reference>
        </references>
      </pivotArea>
    </format>
    <format dxfId="388">
      <pivotArea dataOnly="0" labelOnly="1" outline="0" fieldPosition="0">
        <references count="4">
          <reference field="8" count="1" selected="0">
            <x v="3"/>
          </reference>
          <reference field="9" count="1" selected="0">
            <x v="0"/>
          </reference>
          <reference field="16" count="1" selected="0">
            <x v="55"/>
          </reference>
          <reference field="19" count="2">
            <x v="11"/>
            <x v="15"/>
          </reference>
        </references>
      </pivotArea>
    </format>
    <format dxfId="387">
      <pivotArea dataOnly="0" labelOnly="1" outline="0" fieldPosition="0">
        <references count="4">
          <reference field="8" count="1" selected="0">
            <x v="3"/>
          </reference>
          <reference field="9" count="1" selected="0">
            <x v="0"/>
          </reference>
          <reference field="16" count="1" selected="0">
            <x v="56"/>
          </reference>
          <reference field="19" count="1">
            <x v="15"/>
          </reference>
        </references>
      </pivotArea>
    </format>
    <format dxfId="386">
      <pivotArea dataOnly="0" labelOnly="1" outline="0" fieldPosition="0">
        <references count="4">
          <reference field="8" count="1" selected="0">
            <x v="3"/>
          </reference>
          <reference field="9" count="1" selected="0">
            <x v="0"/>
          </reference>
          <reference field="16" count="1" selected="0">
            <x v="57"/>
          </reference>
          <reference field="19" count="1">
            <x v="15"/>
          </reference>
        </references>
      </pivotArea>
    </format>
    <format dxfId="385">
      <pivotArea dataOnly="0" labelOnly="1" outline="0" fieldPosition="0">
        <references count="4">
          <reference field="8" count="1" selected="0">
            <x v="3"/>
          </reference>
          <reference field="9" count="1" selected="0">
            <x v="3"/>
          </reference>
          <reference field="16" count="1" selected="0">
            <x v="11"/>
          </reference>
          <reference field="19" count="1">
            <x v="11"/>
          </reference>
        </references>
      </pivotArea>
    </format>
    <format dxfId="384">
      <pivotArea dataOnly="0" labelOnly="1" outline="0" fieldPosition="0">
        <references count="4">
          <reference field="8" count="1" selected="0">
            <x v="3"/>
          </reference>
          <reference field="9" count="1" selected="0">
            <x v="8"/>
          </reference>
          <reference field="16" count="1" selected="0">
            <x v="18"/>
          </reference>
          <reference field="19" count="1">
            <x v="7"/>
          </reference>
        </references>
      </pivotArea>
    </format>
    <format dxfId="383">
      <pivotArea dataOnly="0" labelOnly="1" outline="0" fieldPosition="0">
        <references count="4">
          <reference field="8" count="1" selected="0">
            <x v="4"/>
          </reference>
          <reference field="9" count="1" selected="0">
            <x v="5"/>
          </reference>
          <reference field="16" count="1" selected="0">
            <x v="44"/>
          </reference>
          <reference field="19" count="1">
            <x v="11"/>
          </reference>
        </references>
      </pivotArea>
    </format>
    <format dxfId="382">
      <pivotArea dataOnly="0" labelOnly="1" outline="0" fieldPosition="0">
        <references count="4">
          <reference field="8" count="1" selected="0">
            <x v="4"/>
          </reference>
          <reference field="9" count="1" selected="0">
            <x v="6"/>
          </reference>
          <reference field="16" count="1" selected="0">
            <x v="5"/>
          </reference>
          <reference field="19" count="1">
            <x v="7"/>
          </reference>
        </references>
      </pivotArea>
    </format>
    <format dxfId="381">
      <pivotArea dataOnly="0" labelOnly="1" outline="0" fieldPosition="0">
        <references count="4">
          <reference field="8" count="1" selected="0">
            <x v="4"/>
          </reference>
          <reference field="9" count="1" selected="0">
            <x v="6"/>
          </reference>
          <reference field="16" count="1" selected="0">
            <x v="6"/>
          </reference>
          <reference field="19" count="1">
            <x v="15"/>
          </reference>
        </references>
      </pivotArea>
    </format>
    <format dxfId="380">
      <pivotArea dataOnly="0" labelOnly="1" outline="0" fieldPosition="0">
        <references count="4">
          <reference field="8" count="1" selected="0">
            <x v="4"/>
          </reference>
          <reference field="9" count="1" selected="0">
            <x v="6"/>
          </reference>
          <reference field="16" count="1" selected="0">
            <x v="12"/>
          </reference>
          <reference field="19" count="1">
            <x v="15"/>
          </reference>
        </references>
      </pivotArea>
    </format>
    <format dxfId="379">
      <pivotArea dataOnly="0" labelOnly="1" outline="0" fieldPosition="0">
        <references count="4">
          <reference field="8" count="1" selected="0">
            <x v="4"/>
          </reference>
          <reference field="9" count="1" selected="0">
            <x v="6"/>
          </reference>
          <reference field="16" count="1" selected="0">
            <x v="26"/>
          </reference>
          <reference field="19" count="1">
            <x v="7"/>
          </reference>
        </references>
      </pivotArea>
    </format>
    <format dxfId="378">
      <pivotArea dataOnly="0" labelOnly="1" outline="0" fieldPosition="0">
        <references count="4">
          <reference field="8" count="1" selected="0">
            <x v="4"/>
          </reference>
          <reference field="9" count="1" selected="0">
            <x v="6"/>
          </reference>
          <reference field="16" count="1" selected="0">
            <x v="27"/>
          </reference>
          <reference field="19" count="1">
            <x v="8"/>
          </reference>
        </references>
      </pivotArea>
    </format>
    <format dxfId="377">
      <pivotArea dataOnly="0" labelOnly="1" outline="0" fieldPosition="0">
        <references count="4">
          <reference field="8" count="1" selected="0">
            <x v="4"/>
          </reference>
          <reference field="9" count="1" selected="0">
            <x v="6"/>
          </reference>
          <reference field="16" count="1" selected="0">
            <x v="44"/>
          </reference>
          <reference field="19" count="1">
            <x v="11"/>
          </reference>
        </references>
      </pivotArea>
    </format>
    <format dxfId="376">
      <pivotArea dataOnly="0" labelOnly="1" outline="0" fieldPosition="0">
        <references count="4">
          <reference field="8" count="1" selected="0">
            <x v="5"/>
          </reference>
          <reference field="9" count="1" selected="0">
            <x v="7"/>
          </reference>
          <reference field="16" count="1" selected="0">
            <x v="3"/>
          </reference>
          <reference field="19" count="1">
            <x v="14"/>
          </reference>
        </references>
      </pivotArea>
    </format>
    <format dxfId="375">
      <pivotArea dataOnly="0" labelOnly="1" outline="0" fieldPosition="0">
        <references count="4">
          <reference field="8" count="1" selected="0">
            <x v="5"/>
          </reference>
          <reference field="9" count="1" selected="0">
            <x v="7"/>
          </reference>
          <reference field="16" count="1" selected="0">
            <x v="24"/>
          </reference>
          <reference field="19" count="1">
            <x v="15"/>
          </reference>
        </references>
      </pivotArea>
    </format>
    <format dxfId="374">
      <pivotArea dataOnly="0" labelOnly="1" outline="0" fieldPosition="0">
        <references count="4">
          <reference field="8" count="1" selected="0">
            <x v="5"/>
          </reference>
          <reference field="9" count="1" selected="0">
            <x v="7"/>
          </reference>
          <reference field="16" count="1" selected="0">
            <x v="25"/>
          </reference>
          <reference field="19" count="1">
            <x v="11"/>
          </reference>
        </references>
      </pivotArea>
    </format>
    <format dxfId="373">
      <pivotArea dataOnly="0" labelOnly="1" outline="0" fieldPosition="0">
        <references count="4">
          <reference field="8" count="1" selected="0">
            <x v="5"/>
          </reference>
          <reference field="9" count="1" selected="0">
            <x v="7"/>
          </reference>
          <reference field="16" count="1" selected="0">
            <x v="35"/>
          </reference>
          <reference field="19" count="1">
            <x v="11"/>
          </reference>
        </references>
      </pivotArea>
    </format>
    <format dxfId="372">
      <pivotArea dataOnly="0" labelOnly="1" outline="0" fieldPosition="0">
        <references count="4">
          <reference field="8" count="1" selected="0">
            <x v="6"/>
          </reference>
          <reference field="9" count="1" selected="0">
            <x v="3"/>
          </reference>
          <reference field="16" count="1" selected="0">
            <x v="2"/>
          </reference>
          <reference field="19" count="1">
            <x v="11"/>
          </reference>
        </references>
      </pivotArea>
    </format>
    <format dxfId="371">
      <pivotArea dataOnly="0" labelOnly="1" outline="0" fieldPosition="0">
        <references count="4">
          <reference field="8" count="1" selected="0">
            <x v="6"/>
          </reference>
          <reference field="9" count="1" selected="0">
            <x v="3"/>
          </reference>
          <reference field="16" count="1" selected="0">
            <x v="17"/>
          </reference>
          <reference field="19" count="1">
            <x v="11"/>
          </reference>
        </references>
      </pivotArea>
    </format>
    <format dxfId="370">
      <pivotArea dataOnly="0" labelOnly="1" outline="0" fieldPosition="0">
        <references count="4">
          <reference field="8" count="1" selected="0">
            <x v="6"/>
          </reference>
          <reference field="9" count="1" selected="0">
            <x v="3"/>
          </reference>
          <reference field="16" count="1" selected="0">
            <x v="30"/>
          </reference>
          <reference field="19" count="1">
            <x v="7"/>
          </reference>
        </references>
      </pivotArea>
    </format>
    <format dxfId="369">
      <pivotArea dataOnly="0" labelOnly="1" outline="0" fieldPosition="0">
        <references count="4">
          <reference field="8" count="1" selected="0">
            <x v="6"/>
          </reference>
          <reference field="9" count="1" selected="0">
            <x v="3"/>
          </reference>
          <reference field="16" count="1" selected="0">
            <x v="34"/>
          </reference>
          <reference field="19" count="1">
            <x v="21"/>
          </reference>
        </references>
      </pivotArea>
    </format>
    <format dxfId="368">
      <pivotArea dataOnly="0" labelOnly="1" outline="0" fieldPosition="0">
        <references count="4">
          <reference field="8" count="1" selected="0">
            <x v="6"/>
          </reference>
          <reference field="9" count="1" selected="0">
            <x v="3"/>
          </reference>
          <reference field="16" count="1" selected="0">
            <x v="54"/>
          </reference>
          <reference field="19" count="1">
            <x v="11"/>
          </reference>
        </references>
      </pivotArea>
    </format>
    <format dxfId="367">
      <pivotArea dataOnly="0" labelOnly="1" outline="0" fieldPosition="0">
        <references count="4">
          <reference field="8" count="1" selected="0">
            <x v="7"/>
          </reference>
          <reference field="9" count="1" selected="0">
            <x v="10"/>
          </reference>
          <reference field="16" count="1" selected="0">
            <x v="59"/>
          </reference>
          <reference field="19" count="1">
            <x v="28"/>
          </reference>
        </references>
      </pivotArea>
    </format>
    <format dxfId="366">
      <pivotArea dataOnly="0" labelOnly="1" outline="0" fieldPosition="0">
        <references count="1">
          <reference field="4294967294" count="2">
            <x v="0"/>
            <x v="1"/>
          </reference>
        </references>
      </pivotArea>
    </format>
    <format dxfId="365">
      <pivotArea outline="0" collapsedLevelsAreSubtotals="1" fieldPosition="0">
        <references count="1">
          <reference field="8" count="7" selected="0" defaultSubtotal="1">
            <x v="0"/>
            <x v="1"/>
            <x v="2"/>
            <x v="3"/>
            <x v="4"/>
            <x v="5"/>
            <x v="6"/>
          </reference>
        </references>
      </pivotArea>
    </format>
    <format dxfId="364">
      <pivotArea dataOnly="0" labelOnly="1" outline="0" fieldPosition="0">
        <references count="1">
          <reference field="4294967294" count="2">
            <x v="0"/>
            <x v="1"/>
          </reference>
        </references>
      </pivotArea>
    </format>
    <format dxfId="363">
      <pivotArea outline="0" collapsedLevelsAreSubtotals="1" fieldPosition="0">
        <references count="2">
          <reference field="8" count="1" selected="0">
            <x v="0"/>
          </reference>
          <reference field="9" count="1" selected="0" defaultSubtotal="1">
            <x v="1"/>
          </reference>
        </references>
      </pivotArea>
    </format>
    <format dxfId="362">
      <pivotArea dataOnly="0" labelOnly="1" fieldPosition="0">
        <references count="2">
          <reference field="8" count="1" selected="0">
            <x v="0"/>
          </reference>
          <reference field="9" count="1" defaultSubtotal="1">
            <x v="1"/>
          </reference>
        </references>
      </pivotArea>
    </format>
    <format dxfId="361">
      <pivotArea outline="0" collapsedLevelsAreSubtotals="1" fieldPosition="0">
        <references count="2">
          <reference field="8" count="1" selected="0">
            <x v="1"/>
          </reference>
          <reference field="9" count="1" selected="0" defaultSubtotal="1">
            <x v="4"/>
          </reference>
        </references>
      </pivotArea>
    </format>
    <format dxfId="360">
      <pivotArea dataOnly="0" labelOnly="1" fieldPosition="0">
        <references count="2">
          <reference field="8" count="1" selected="0">
            <x v="1"/>
          </reference>
          <reference field="9" count="1" defaultSubtotal="1">
            <x v="4"/>
          </reference>
        </references>
      </pivotArea>
    </format>
    <format dxfId="359">
      <pivotArea outline="0" collapsedLevelsAreSubtotals="1" fieldPosition="0">
        <references count="2">
          <reference field="8" count="1" selected="0">
            <x v="2"/>
          </reference>
          <reference field="9" count="1" selected="0" defaultSubtotal="1">
            <x v="0"/>
          </reference>
        </references>
      </pivotArea>
    </format>
    <format dxfId="358">
      <pivotArea dataOnly="0" labelOnly="1" fieldPosition="0">
        <references count="2">
          <reference field="8" count="1" selected="0">
            <x v="2"/>
          </reference>
          <reference field="9" count="1" defaultSubtotal="1">
            <x v="0"/>
          </reference>
        </references>
      </pivotArea>
    </format>
    <format dxfId="357">
      <pivotArea outline="0" collapsedLevelsAreSubtotals="1" fieldPosition="0">
        <references count="2">
          <reference field="8" count="1" selected="0">
            <x v="2"/>
          </reference>
          <reference field="9" count="1" selected="0" defaultSubtotal="1">
            <x v="2"/>
          </reference>
        </references>
      </pivotArea>
    </format>
    <format dxfId="356">
      <pivotArea dataOnly="0" labelOnly="1" fieldPosition="0">
        <references count="2">
          <reference field="8" count="1" selected="0">
            <x v="2"/>
          </reference>
          <reference field="9" count="1" defaultSubtotal="1">
            <x v="2"/>
          </reference>
        </references>
      </pivotArea>
    </format>
    <format dxfId="355">
      <pivotArea outline="0" collapsedLevelsAreSubtotals="1" fieldPosition="0">
        <references count="2">
          <reference field="8" count="1" selected="0">
            <x v="2"/>
          </reference>
          <reference field="9" count="1" selected="0" defaultSubtotal="1">
            <x v="3"/>
          </reference>
        </references>
      </pivotArea>
    </format>
    <format dxfId="354">
      <pivotArea dataOnly="0" labelOnly="1" fieldPosition="0">
        <references count="2">
          <reference field="8" count="1" selected="0">
            <x v="2"/>
          </reference>
          <reference field="9" count="1" defaultSubtotal="1">
            <x v="3"/>
          </reference>
        </references>
      </pivotArea>
    </format>
    <format dxfId="353">
      <pivotArea outline="0" collapsedLevelsAreSubtotals="1" fieldPosition="0">
        <references count="2">
          <reference field="8" count="1" selected="0">
            <x v="2"/>
          </reference>
          <reference field="9" count="1" selected="0" defaultSubtotal="1">
            <x v="8"/>
          </reference>
        </references>
      </pivotArea>
    </format>
    <format dxfId="352">
      <pivotArea dataOnly="0" labelOnly="1" fieldPosition="0">
        <references count="2">
          <reference field="8" count="1" selected="0">
            <x v="2"/>
          </reference>
          <reference field="9" count="1" defaultSubtotal="1">
            <x v="8"/>
          </reference>
        </references>
      </pivotArea>
    </format>
    <format dxfId="351">
      <pivotArea dataOnly="0" labelOnly="1" outline="0" fieldPosition="0">
        <references count="4">
          <reference field="8" count="1" selected="0">
            <x v="3"/>
          </reference>
          <reference field="9" count="1" selected="0">
            <x v="0"/>
          </reference>
          <reference field="16" count="1" selected="0">
            <x v="1"/>
          </reference>
          <reference field="19" count="1">
            <x v="0"/>
          </reference>
        </references>
      </pivotArea>
    </format>
    <format dxfId="350">
      <pivotArea dataOnly="0" labelOnly="1" outline="0" fieldPosition="0">
        <references count="4">
          <reference field="8" count="1" selected="0">
            <x v="3"/>
          </reference>
          <reference field="9" count="1" selected="0">
            <x v="0"/>
          </reference>
          <reference field="16" count="1" selected="0">
            <x v="1"/>
          </reference>
          <reference field="19" count="1">
            <x v="15"/>
          </reference>
        </references>
      </pivotArea>
    </format>
    <format dxfId="349">
      <pivotArea dataOnly="0" labelOnly="1" outline="0" fieldPosition="0">
        <references count="4">
          <reference field="8" count="1" selected="0">
            <x v="3"/>
          </reference>
          <reference field="9" count="1" selected="0">
            <x v="0"/>
          </reference>
          <reference field="16" count="1" selected="0">
            <x v="15"/>
          </reference>
          <reference field="19" count="1">
            <x v="15"/>
          </reference>
        </references>
      </pivotArea>
    </format>
    <format dxfId="348">
      <pivotArea dataOnly="0" labelOnly="1" outline="0" fieldPosition="0">
        <references count="4">
          <reference field="8" count="1" selected="0">
            <x v="3"/>
          </reference>
          <reference field="9" count="1" selected="0">
            <x v="0"/>
          </reference>
          <reference field="16" count="1" selected="0">
            <x v="28"/>
          </reference>
          <reference field="19" count="1">
            <x v="11"/>
          </reference>
        </references>
      </pivotArea>
    </format>
    <format dxfId="347">
      <pivotArea dataOnly="0" labelOnly="1" outline="0" fieldPosition="0">
        <references count="4">
          <reference field="8" count="1" selected="0">
            <x v="3"/>
          </reference>
          <reference field="9" count="1" selected="0">
            <x v="0"/>
          </reference>
          <reference field="16" count="1" selected="0">
            <x v="32"/>
          </reference>
          <reference field="19" count="1">
            <x v="8"/>
          </reference>
        </references>
      </pivotArea>
    </format>
    <format dxfId="346">
      <pivotArea dataOnly="0" labelOnly="1" outline="0" fieldPosition="0">
        <references count="4">
          <reference field="8" count="1" selected="0">
            <x v="3"/>
          </reference>
          <reference field="9" count="1" selected="0">
            <x v="0"/>
          </reference>
          <reference field="16" count="1" selected="0">
            <x v="33"/>
          </reference>
          <reference field="19" count="1">
            <x v="11"/>
          </reference>
        </references>
      </pivotArea>
    </format>
    <format dxfId="345">
      <pivotArea dataOnly="0" labelOnly="1" outline="0" fieldPosition="0">
        <references count="4">
          <reference field="8" count="1" selected="0">
            <x v="3"/>
          </reference>
          <reference field="9" count="1" selected="0">
            <x v="0"/>
          </reference>
          <reference field="16" count="1" selected="0">
            <x v="37"/>
          </reference>
          <reference field="19" count="1">
            <x v="15"/>
          </reference>
        </references>
      </pivotArea>
    </format>
    <format dxfId="344">
      <pivotArea dataOnly="0" labelOnly="1" outline="0" fieldPosition="0">
        <references count="4">
          <reference field="8" count="1" selected="0">
            <x v="3"/>
          </reference>
          <reference field="9" count="1" selected="0">
            <x v="0"/>
          </reference>
          <reference field="16" count="1" selected="0">
            <x v="41"/>
          </reference>
          <reference field="19" count="1">
            <x v="11"/>
          </reference>
        </references>
      </pivotArea>
    </format>
    <format dxfId="343">
      <pivotArea dataOnly="0" labelOnly="1" outline="0" fieldPosition="0">
        <references count="4">
          <reference field="8" count="1" selected="0">
            <x v="2"/>
          </reference>
          <reference field="9" count="1" selected="0">
            <x v="3"/>
          </reference>
          <reference field="16" count="1" selected="0">
            <x v="16"/>
          </reference>
          <reference field="19" count="1">
            <x v="11"/>
          </reference>
        </references>
      </pivotArea>
    </format>
    <format dxfId="342">
      <pivotArea dataOnly="0" labelOnly="1" outline="0" fieldPosition="0">
        <references count="4">
          <reference field="8" count="1" selected="0">
            <x v="2"/>
          </reference>
          <reference field="9" count="1" selected="0">
            <x v="2"/>
          </reference>
          <reference field="16" count="1" selected="0">
            <x v="40"/>
          </reference>
          <reference field="19" count="2">
            <x v="15"/>
            <x v="20"/>
          </reference>
        </references>
      </pivotArea>
    </format>
    <format dxfId="341">
      <pivotArea dataOnly="0" labelOnly="1" outline="0" fieldPosition="0">
        <references count="4">
          <reference field="8" count="1" selected="0">
            <x v="2"/>
          </reference>
          <reference field="9" count="1" selected="0">
            <x v="0"/>
          </reference>
          <reference field="16" count="1" selected="0">
            <x v="4"/>
          </reference>
          <reference field="19" count="2">
            <x v="14"/>
            <x v="15"/>
          </reference>
        </references>
      </pivotArea>
    </format>
    <format dxfId="340">
      <pivotArea dataOnly="0" labelOnly="1" outline="0" fieldPosition="0">
        <references count="4">
          <reference field="8" count="1" selected="0">
            <x v="2"/>
          </reference>
          <reference field="9" count="1" selected="0">
            <x v="0"/>
          </reference>
          <reference field="16" count="1" selected="0">
            <x v="7"/>
          </reference>
          <reference field="19" count="1">
            <x v="15"/>
          </reference>
        </references>
      </pivotArea>
    </format>
    <format dxfId="339">
      <pivotArea dataOnly="0" labelOnly="1" outline="0" fieldPosition="0">
        <references count="4">
          <reference field="8" count="1" selected="0">
            <x v="2"/>
          </reference>
          <reference field="9" count="1" selected="0">
            <x v="0"/>
          </reference>
          <reference field="16" count="1" selected="0">
            <x v="19"/>
          </reference>
          <reference field="19" count="2">
            <x v="6"/>
            <x v="15"/>
          </reference>
        </references>
      </pivotArea>
    </format>
    <format dxfId="338">
      <pivotArea dataOnly="0" labelOnly="1" fieldPosition="0">
        <references count="3">
          <reference field="8" count="1" selected="0">
            <x v="2"/>
          </reference>
          <reference field="9" count="1" selected="0">
            <x v="2"/>
          </reference>
          <reference field="16" count="3">
            <x v="14"/>
            <x v="20"/>
            <x v="29"/>
          </reference>
        </references>
      </pivotArea>
    </format>
    <format dxfId="337">
      <pivotArea dataOnly="0" labelOnly="1" fieldPosition="0">
        <references count="3">
          <reference field="8" count="1" selected="0">
            <x v="2"/>
          </reference>
          <reference field="9" count="1" selected="0">
            <x v="2"/>
          </reference>
          <reference field="16" count="1">
            <x v="40"/>
          </reference>
        </references>
      </pivotArea>
    </format>
    <format dxfId="336">
      <pivotArea dataOnly="0" labelOnly="1" fieldPosition="0">
        <references count="3">
          <reference field="8" count="1" selected="0">
            <x v="2"/>
          </reference>
          <reference field="9" count="1" selected="0">
            <x v="2"/>
          </reference>
          <reference field="16" count="2">
            <x v="46"/>
            <x v="51"/>
          </reference>
        </references>
      </pivotArea>
    </format>
    <format dxfId="335">
      <pivotArea dataOnly="0" labelOnly="1" fieldPosition="0">
        <references count="3">
          <reference field="8" count="1" selected="0">
            <x v="2"/>
          </reference>
          <reference field="9" count="1" selected="0">
            <x v="0"/>
          </reference>
          <reference field="16" count="7">
            <x v="38"/>
            <x v="39"/>
            <x v="42"/>
            <x v="43"/>
            <x v="47"/>
            <x v="52"/>
            <x v="58"/>
          </reference>
        </references>
      </pivotArea>
    </format>
    <format dxfId="334">
      <pivotArea dataOnly="0" labelOnly="1" fieldPosition="0">
        <references count="3">
          <reference field="8" count="1" selected="0">
            <x v="2"/>
          </reference>
          <reference field="9" count="1" selected="0">
            <x v="0"/>
          </reference>
          <reference field="16" count="1">
            <x v="7"/>
          </reference>
        </references>
      </pivotArea>
    </format>
    <format dxfId="333">
      <pivotArea dataOnly="0" labelOnly="1" fieldPosition="0">
        <references count="3">
          <reference field="8" count="1" selected="0">
            <x v="2"/>
          </reference>
          <reference field="9" count="1" selected="0">
            <x v="0"/>
          </reference>
          <reference field="16" count="1">
            <x v="4"/>
          </reference>
        </references>
      </pivotArea>
    </format>
    <format dxfId="332">
      <pivotArea dataOnly="0" labelOnly="1" fieldPosition="0">
        <references count="3">
          <reference field="8" count="1" selected="0">
            <x v="1"/>
          </reference>
          <reference field="9" count="1" selected="0">
            <x v="4"/>
          </reference>
          <reference field="16" count="4">
            <x v="36"/>
            <x v="45"/>
            <x v="49"/>
            <x v="53"/>
          </reference>
        </references>
      </pivotArea>
    </format>
    <format dxfId="331">
      <pivotArea dataOnly="0" labelOnly="1" fieldPosition="0">
        <references count="3">
          <reference field="8" count="1" selected="0">
            <x v="0"/>
          </reference>
          <reference field="9" count="1" selected="0">
            <x v="1"/>
          </reference>
          <reference field="16" count="2">
            <x v="8"/>
            <x v="10"/>
          </reference>
        </references>
      </pivotArea>
    </format>
    <format dxfId="330">
      <pivotArea dataOnly="0" labelOnly="1" fieldPosition="0">
        <references count="3">
          <reference field="8" count="1" selected="0">
            <x v="2"/>
          </reference>
          <reference field="9" count="1" selected="0">
            <x v="3"/>
          </reference>
          <reference field="16" count="3">
            <x v="9"/>
            <x v="13"/>
            <x v="16"/>
          </reference>
        </references>
      </pivotArea>
    </format>
    <format dxfId="329">
      <pivotArea dataOnly="0" labelOnly="1" fieldPosition="0">
        <references count="3">
          <reference field="8" count="1" selected="0">
            <x v="2"/>
          </reference>
          <reference field="9" count="1" selected="0">
            <x v="3"/>
          </reference>
          <reference field="16" count="1">
            <x v="48"/>
          </reference>
        </references>
      </pivotArea>
    </format>
    <format dxfId="328">
      <pivotArea dataOnly="0" labelOnly="1" fieldPosition="0">
        <references count="3">
          <reference field="8" count="1" selected="0">
            <x v="2"/>
          </reference>
          <reference field="9" count="1" selected="0">
            <x v="8"/>
          </reference>
          <reference field="16" count="3">
            <x v="21"/>
            <x v="22"/>
            <x v="23"/>
          </reference>
        </references>
      </pivotArea>
    </format>
    <format dxfId="327">
      <pivotArea dataOnly="0" labelOnly="1" fieldPosition="0">
        <references count="3">
          <reference field="8" count="1" selected="0">
            <x v="2"/>
          </reference>
          <reference field="9" count="1" selected="0">
            <x v="9"/>
          </reference>
          <reference field="16" count="1">
            <x v="0"/>
          </reference>
        </references>
      </pivotArea>
    </format>
    <format dxfId="326">
      <pivotArea dataOnly="0" labelOnly="1" fieldPosition="0">
        <references count="3">
          <reference field="8" count="1" selected="0">
            <x v="3"/>
          </reference>
          <reference field="9" count="1" selected="0">
            <x v="0"/>
          </reference>
          <reference field="16" count="1">
            <x v="1"/>
          </reference>
        </references>
      </pivotArea>
    </format>
    <format dxfId="325">
      <pivotArea dataOnly="0" labelOnly="1" fieldPosition="0">
        <references count="3">
          <reference field="8" count="1" selected="0">
            <x v="3"/>
          </reference>
          <reference field="9" count="1" selected="0">
            <x v="0"/>
          </reference>
          <reference field="16" count="2">
            <x v="15"/>
            <x v="28"/>
          </reference>
        </references>
      </pivotArea>
    </format>
    <format dxfId="324">
      <pivotArea dataOnly="0" labelOnly="1" fieldPosition="0">
        <references count="3">
          <reference field="8" count="1" selected="0">
            <x v="3"/>
          </reference>
          <reference field="9" count="1" selected="0">
            <x v="0"/>
          </reference>
          <reference field="16" count="1">
            <x v="31"/>
          </reference>
        </references>
      </pivotArea>
    </format>
    <format dxfId="323">
      <pivotArea dataOnly="0" labelOnly="1" fieldPosition="0">
        <references count="3">
          <reference field="8" count="1" selected="0">
            <x v="3"/>
          </reference>
          <reference field="9" count="1" selected="0">
            <x v="0"/>
          </reference>
          <reference field="16" count="1">
            <x v="55"/>
          </reference>
        </references>
      </pivotArea>
    </format>
    <format dxfId="322">
      <pivotArea dataOnly="0" labelOnly="1" fieldPosition="0">
        <references count="3">
          <reference field="8" count="1" selected="0">
            <x v="3"/>
          </reference>
          <reference field="9" count="1" selected="0">
            <x v="0"/>
          </reference>
          <reference field="16" count="4">
            <x v="32"/>
            <x v="33"/>
            <x v="37"/>
            <x v="41"/>
          </reference>
        </references>
      </pivotArea>
    </format>
    <format dxfId="321">
      <pivotArea dataOnly="0" labelOnly="1" fieldPosition="0">
        <references count="3">
          <reference field="8" count="1" selected="0">
            <x v="3"/>
          </reference>
          <reference field="9" count="1" selected="0">
            <x v="0"/>
          </reference>
          <reference field="16" count="2">
            <x v="56"/>
            <x v="57"/>
          </reference>
        </references>
      </pivotArea>
    </format>
    <format dxfId="320">
      <pivotArea dataOnly="0" labelOnly="1" fieldPosition="0">
        <references count="3">
          <reference field="8" count="1" selected="0">
            <x v="4"/>
          </reference>
          <reference field="9" count="1" selected="0">
            <x v="6"/>
          </reference>
          <reference field="16" count="6">
            <x v="5"/>
            <x v="6"/>
            <x v="12"/>
            <x v="26"/>
            <x v="27"/>
            <x v="44"/>
          </reference>
        </references>
      </pivotArea>
    </format>
    <format dxfId="319">
      <pivotArea dataOnly="0" labelOnly="1" fieldPosition="0">
        <references count="3">
          <reference field="8" count="1" selected="0">
            <x v="5"/>
          </reference>
          <reference field="9" count="1" selected="0">
            <x v="7"/>
          </reference>
          <reference field="16" count="4">
            <x v="3"/>
            <x v="24"/>
            <x v="25"/>
            <x v="35"/>
          </reference>
        </references>
      </pivotArea>
    </format>
    <format dxfId="318">
      <pivotArea dataOnly="0" labelOnly="1" fieldPosition="0">
        <references count="3">
          <reference field="8" count="1" selected="0">
            <x v="6"/>
          </reference>
          <reference field="9" count="1" selected="0">
            <x v="3"/>
          </reference>
          <reference field="16" count="5">
            <x v="2"/>
            <x v="17"/>
            <x v="30"/>
            <x v="34"/>
            <x v="54"/>
          </reference>
        </references>
      </pivotArea>
    </format>
    <format dxfId="317">
      <pivotArea dataOnly="0" outline="0" fieldPosition="0">
        <references count="1">
          <reference field="9" count="0" defaultSubtotal="1"/>
        </references>
      </pivotArea>
    </format>
    <format dxfId="316">
      <pivotArea dataOnly="0" labelOnly="1" fieldPosition="0">
        <references count="2">
          <reference field="8" count="1" selected="0">
            <x v="2"/>
          </reference>
          <reference field="9" count="1" defaultSubtotal="1">
            <x v="0"/>
          </reference>
        </references>
      </pivotArea>
    </format>
    <format dxfId="315">
      <pivotArea outline="0" collapsedLevelsAreSubtotals="1" fieldPosition="0">
        <references count="2">
          <reference field="4294967294" count="1" selected="0">
            <x v="0"/>
          </reference>
          <reference field="8" count="7" selected="0" defaultSubtotal="1">
            <x v="0"/>
            <x v="1"/>
            <x v="2"/>
            <x v="3"/>
            <x v="4"/>
            <x v="5"/>
            <x v="6"/>
          </reference>
        </references>
      </pivotArea>
    </format>
    <format dxfId="314">
      <pivotArea dataOnly="0" labelOnly="1" outline="0" fieldPosition="0">
        <references count="1">
          <reference field="4294967294" count="1">
            <x v="0"/>
          </reference>
        </references>
      </pivotArea>
    </format>
    <format dxfId="313">
      <pivotArea outline="0" collapsedLevelsAreSubtotals="1" fieldPosition="0">
        <references count="4">
          <reference field="8" count="1" selected="0">
            <x v="2"/>
          </reference>
          <reference field="9" count="1" selected="0">
            <x v="0"/>
          </reference>
          <reference field="16" count="11" selected="0">
            <x v="0"/>
            <x v="4"/>
            <x v="7"/>
            <x v="19"/>
            <x v="38"/>
            <x v="39"/>
            <x v="42"/>
            <x v="43"/>
            <x v="47"/>
            <x v="52"/>
            <x v="58"/>
          </reference>
          <reference field="19" count="4" selected="0">
            <x v="6"/>
            <x v="14"/>
            <x v="15"/>
            <x v="19"/>
          </reference>
        </references>
      </pivotArea>
    </format>
    <format dxfId="312">
      <pivotArea outline="0" collapsedLevelsAreSubtotals="1" fieldPosition="0">
        <references count="2">
          <reference field="8" count="1" selected="0">
            <x v="2"/>
          </reference>
          <reference field="9" count="4" selected="0" defaultSubtotal="1">
            <x v="2"/>
            <x v="3"/>
            <x v="8"/>
            <x v="9"/>
          </reference>
        </references>
      </pivotArea>
    </format>
    <format dxfId="311">
      <pivotArea outline="0" collapsedLevelsAreSubtotals="1" fieldPosition="0">
        <references count="1">
          <reference field="8" count="1" selected="0" defaultSubtotal="1">
            <x v="2"/>
          </reference>
        </references>
      </pivotArea>
    </format>
    <format dxfId="310">
      <pivotArea outline="0" collapsedLevelsAreSubtotals="1" fieldPosition="0">
        <references count="1">
          <reference field="8" count="6" selected="0" defaultSubtotal="1">
            <x v="0"/>
            <x v="1"/>
            <x v="3"/>
            <x v="4"/>
            <x v="5"/>
            <x v="6"/>
          </reference>
        </references>
      </pivotArea>
    </format>
    <format dxfId="309">
      <pivotArea grandRow="1" outline="0" collapsedLevelsAreSubtotals="1" fieldPosition="0"/>
    </format>
    <format dxfId="308">
      <pivotArea field="8" type="button" dataOnly="0" labelOnly="1" outline="0" axis="axisRow" fieldPosition="0"/>
    </format>
    <format dxfId="307">
      <pivotArea field="9" type="button" dataOnly="0" labelOnly="1" outline="0" axis="axisRow" fieldPosition="1"/>
    </format>
    <format dxfId="306">
      <pivotArea field="16" type="button" dataOnly="0" labelOnly="1" outline="0" axis="axisRow" fieldPosition="2"/>
    </format>
    <format dxfId="305">
      <pivotArea field="19" type="button" dataOnly="0" labelOnly="1" outline="0" axis="axisRow" fieldPosition="3"/>
    </format>
    <format dxfId="304">
      <pivotArea dataOnly="0" labelOnly="1" outline="0" fieldPosition="0">
        <references count="1">
          <reference field="4294967294" count="2">
            <x v="0"/>
            <x v="1"/>
          </reference>
        </references>
      </pivotArea>
    </format>
    <format dxfId="303">
      <pivotArea field="16" type="button" dataOnly="0" labelOnly="1" outline="0" axis="axisRow" fieldPosition="2"/>
    </format>
    <format dxfId="302">
      <pivotArea field="19" type="button" dataOnly="0" labelOnly="1" outline="0" axis="axisRow" fieldPosition="3"/>
    </format>
    <format dxfId="301">
      <pivotArea field="9" type="button" dataOnly="0" labelOnly="1" outline="0" axis="axisRow" fieldPosition="1"/>
    </format>
    <format dxfId="300">
      <pivotArea dataOnly="0" labelOnly="1" outline="0" fieldPosition="0">
        <references count="4">
          <reference field="8" count="1" selected="0">
            <x v="2"/>
          </reference>
          <reference field="9" count="1" selected="0">
            <x v="3"/>
          </reference>
          <reference field="16" count="1" selected="0">
            <x v="48"/>
          </reference>
          <reference field="19" count="2">
            <x v="11"/>
            <x v="15"/>
          </reference>
        </references>
      </pivotArea>
    </format>
    <format dxfId="299">
      <pivotArea dataOnly="0" labelOnly="1" outline="0" fieldPosition="0">
        <references count="4">
          <reference field="8" count="1" selected="0">
            <x v="3"/>
          </reference>
          <reference field="9" count="1" selected="0">
            <x v="0"/>
          </reference>
          <reference field="16" count="1" selected="0">
            <x v="31"/>
          </reference>
          <reference field="19" count="2">
            <x v="11"/>
            <x v="12"/>
          </reference>
        </references>
      </pivotArea>
    </format>
    <format dxfId="298">
      <pivotArea dataOnly="0" labelOnly="1" outline="0" fieldPosition="0">
        <references count="4">
          <reference field="8" count="1" selected="0">
            <x v="3"/>
          </reference>
          <reference field="9" count="1" selected="0">
            <x v="0"/>
          </reference>
          <reference field="16" count="1" selected="0">
            <x v="55"/>
          </reference>
          <reference field="19" count="2">
            <x v="11"/>
            <x v="15"/>
          </reference>
        </references>
      </pivotArea>
    </format>
    <format dxfId="297">
      <pivotArea dataOnly="0" labelOnly="1" fieldPosition="0">
        <references count="2">
          <reference field="8" count="1" selected="0">
            <x v="8"/>
          </reference>
          <reference field="9" count="1" defaultSubtotal="1">
            <x v="11"/>
          </reference>
        </references>
      </pivotArea>
    </format>
    <format dxfId="296">
      <pivotArea outline="0" collapsedLevelsAreSubtotals="1" fieldPosition="0">
        <references count="4">
          <reference field="8" count="1" selected="0">
            <x v="8"/>
          </reference>
          <reference field="9" count="1" selected="0">
            <x v="4"/>
          </reference>
          <reference field="16" count="1" selected="0">
            <x v="86"/>
          </reference>
          <reference field="19" count="1" selected="0">
            <x v="15"/>
          </reference>
        </references>
      </pivotArea>
    </format>
    <format dxfId="295">
      <pivotArea dataOnly="0" labelOnly="1" fieldPosition="0">
        <references count="3">
          <reference field="8" count="1" selected="0">
            <x v="8"/>
          </reference>
          <reference field="9" count="1" selected="0">
            <x v="4"/>
          </reference>
          <reference field="16" count="1">
            <x v="86"/>
          </reference>
        </references>
      </pivotArea>
    </format>
    <format dxfId="294">
      <pivotArea dataOnly="0" labelOnly="1" outline="0" fieldPosition="0">
        <references count="4">
          <reference field="8" count="1" selected="0">
            <x v="8"/>
          </reference>
          <reference field="9" count="1" selected="0">
            <x v="4"/>
          </reference>
          <reference field="16" count="1" selected="0">
            <x v="86"/>
          </reference>
          <reference field="19" count="1">
            <x v="15"/>
          </reference>
        </references>
      </pivotArea>
    </format>
    <format dxfId="293">
      <pivotArea outline="0" collapsedLevelsAreSubtotals="1" fieldPosition="0">
        <references count="4">
          <reference field="8" count="1" selected="0">
            <x v="8"/>
          </reference>
          <reference field="9" count="1" selected="0">
            <x v="11"/>
          </reference>
          <reference field="16" count="8" selected="0">
            <x v="0"/>
            <x v="60"/>
            <x v="61"/>
            <x v="69"/>
            <x v="76"/>
            <x v="78"/>
            <x v="89"/>
            <x v="90"/>
          </reference>
          <reference field="19" count="4" selected="0">
            <x v="7"/>
            <x v="11"/>
            <x v="15"/>
            <x v="18"/>
          </reference>
        </references>
      </pivotArea>
    </format>
    <format dxfId="292">
      <pivotArea dataOnly="0" labelOnly="1" fieldPosition="0">
        <references count="3">
          <reference field="8" count="1" selected="0">
            <x v="8"/>
          </reference>
          <reference field="9" count="1" selected="0">
            <x v="11"/>
          </reference>
          <reference field="16" count="8">
            <x v="0"/>
            <x v="60"/>
            <x v="61"/>
            <x v="69"/>
            <x v="76"/>
            <x v="78"/>
            <x v="89"/>
            <x v="90"/>
          </reference>
        </references>
      </pivotArea>
    </format>
    <format dxfId="291">
      <pivotArea dataOnly="0" labelOnly="1" outline="0" fieldPosition="0">
        <references count="4">
          <reference field="8" count="1" selected="0">
            <x v="8"/>
          </reference>
          <reference field="9" count="1" selected="0">
            <x v="11"/>
          </reference>
          <reference field="16" count="1" selected="0">
            <x v="0"/>
          </reference>
          <reference field="19" count="1">
            <x v="11"/>
          </reference>
        </references>
      </pivotArea>
    </format>
    <format dxfId="290">
      <pivotArea dataOnly="0" labelOnly="1" outline="0" fieldPosition="0">
        <references count="4">
          <reference field="8" count="1" selected="0">
            <x v="8"/>
          </reference>
          <reference field="9" count="1" selected="0">
            <x v="11"/>
          </reference>
          <reference field="16" count="1" selected="0">
            <x v="60"/>
          </reference>
          <reference field="19" count="1">
            <x v="11"/>
          </reference>
        </references>
      </pivotArea>
    </format>
    <format dxfId="289">
      <pivotArea dataOnly="0" labelOnly="1" outline="0" fieldPosition="0">
        <references count="4">
          <reference field="8" count="1" selected="0">
            <x v="8"/>
          </reference>
          <reference field="9" count="1" selected="0">
            <x v="11"/>
          </reference>
          <reference field="16" count="1" selected="0">
            <x v="61"/>
          </reference>
          <reference field="19" count="1">
            <x v="18"/>
          </reference>
        </references>
      </pivotArea>
    </format>
    <format dxfId="288">
      <pivotArea dataOnly="0" labelOnly="1" outline="0" fieldPosition="0">
        <references count="4">
          <reference field="8" count="1" selected="0">
            <x v="8"/>
          </reference>
          <reference field="9" count="1" selected="0">
            <x v="11"/>
          </reference>
          <reference field="16" count="1" selected="0">
            <x v="69"/>
          </reference>
          <reference field="19" count="1">
            <x v="15"/>
          </reference>
        </references>
      </pivotArea>
    </format>
    <format dxfId="287">
      <pivotArea dataOnly="0" labelOnly="1" outline="0" fieldPosition="0">
        <references count="4">
          <reference field="8" count="1" selected="0">
            <x v="8"/>
          </reference>
          <reference field="9" count="1" selected="0">
            <x v="11"/>
          </reference>
          <reference field="16" count="1" selected="0">
            <x v="76"/>
          </reference>
          <reference field="19" count="1">
            <x v="7"/>
          </reference>
        </references>
      </pivotArea>
    </format>
    <format dxfId="286">
      <pivotArea dataOnly="0" labelOnly="1" outline="0" fieldPosition="0">
        <references count="4">
          <reference field="8" count="1" selected="0">
            <x v="8"/>
          </reference>
          <reference field="9" count="1" selected="0">
            <x v="11"/>
          </reference>
          <reference field="16" count="1" selected="0">
            <x v="78"/>
          </reference>
          <reference field="19" count="1">
            <x v="11"/>
          </reference>
        </references>
      </pivotArea>
    </format>
    <format dxfId="285">
      <pivotArea dataOnly="0" labelOnly="1" outline="0" fieldPosition="0">
        <references count="4">
          <reference field="8" count="1" selected="0">
            <x v="8"/>
          </reference>
          <reference field="9" count="1" selected="0">
            <x v="11"/>
          </reference>
          <reference field="16" count="1" selected="0">
            <x v="89"/>
          </reference>
          <reference field="19" count="1">
            <x v="7"/>
          </reference>
        </references>
      </pivotArea>
    </format>
    <format dxfId="284">
      <pivotArea dataOnly="0" labelOnly="1" outline="0" fieldPosition="0">
        <references count="4">
          <reference field="8" count="1" selected="0">
            <x v="8"/>
          </reference>
          <reference field="9" count="1" selected="0">
            <x v="11"/>
          </reference>
          <reference field="16" count="1" selected="0">
            <x v="90"/>
          </reference>
          <reference field="19" count="1">
            <x v="15"/>
          </reference>
        </references>
      </pivotArea>
    </format>
    <format dxfId="283">
      <pivotArea outline="0" collapsedLevelsAreSubtotals="1" fieldPosition="0">
        <references count="4">
          <reference field="8" count="1" selected="0">
            <x v="12"/>
          </reference>
          <reference field="9" count="1" selected="0">
            <x v="2"/>
          </reference>
          <reference field="16" count="1" selected="0">
            <x v="66"/>
          </reference>
          <reference field="19" count="1" selected="0">
            <x v="15"/>
          </reference>
        </references>
      </pivotArea>
    </format>
    <format dxfId="282">
      <pivotArea dataOnly="0" labelOnly="1" fieldPosition="0">
        <references count="3">
          <reference field="8" count="1" selected="0">
            <x v="12"/>
          </reference>
          <reference field="9" count="1" selected="0">
            <x v="2"/>
          </reference>
          <reference field="16" count="1">
            <x v="66"/>
          </reference>
        </references>
      </pivotArea>
    </format>
    <format dxfId="281">
      <pivotArea dataOnly="0" labelOnly="1" outline="0" fieldPosition="0">
        <references count="4">
          <reference field="8" count="1" selected="0">
            <x v="12"/>
          </reference>
          <reference field="9" count="1" selected="0">
            <x v="2"/>
          </reference>
          <reference field="16" count="1" selected="0">
            <x v="66"/>
          </reference>
          <reference field="19" count="1">
            <x v="15"/>
          </reference>
        </references>
      </pivotArea>
    </format>
    <format dxfId="280">
      <pivotArea outline="0" collapsedLevelsAreSubtotals="1" fieldPosition="0">
        <references count="4">
          <reference field="8" count="1" selected="0">
            <x v="12"/>
          </reference>
          <reference field="9" count="1" selected="0">
            <x v="3"/>
          </reference>
          <reference field="16" count="1" selected="0">
            <x v="85"/>
          </reference>
          <reference field="19" count="1" selected="0">
            <x v="20"/>
          </reference>
        </references>
      </pivotArea>
    </format>
    <format dxfId="279">
      <pivotArea dataOnly="0" labelOnly="1" fieldPosition="0">
        <references count="3">
          <reference field="8" count="1" selected="0">
            <x v="12"/>
          </reference>
          <reference field="9" count="1" selected="0">
            <x v="3"/>
          </reference>
          <reference field="16" count="1">
            <x v="85"/>
          </reference>
        </references>
      </pivotArea>
    </format>
    <format dxfId="278">
      <pivotArea dataOnly="0" labelOnly="1" outline="0" fieldPosition="0">
        <references count="4">
          <reference field="8" count="1" selected="0">
            <x v="12"/>
          </reference>
          <reference field="9" count="1" selected="0">
            <x v="3"/>
          </reference>
          <reference field="16" count="1" selected="0">
            <x v="85"/>
          </reference>
          <reference field="19" count="1">
            <x v="20"/>
          </reference>
        </references>
      </pivotArea>
    </format>
    <format dxfId="277">
      <pivotArea outline="0" collapsedLevelsAreSubtotals="1" fieldPosition="0">
        <references count="4">
          <reference field="8" count="1" selected="0">
            <x v="12"/>
          </reference>
          <reference field="9" count="1" selected="0">
            <x v="13"/>
          </reference>
          <reference field="16" count="5" selected="0">
            <x v="65"/>
            <x v="72"/>
            <x v="74"/>
            <x v="81"/>
            <x v="87"/>
          </reference>
          <reference field="19" count="4" selected="0">
            <x v="3"/>
            <x v="11"/>
            <x v="12"/>
            <x v="14"/>
          </reference>
        </references>
      </pivotArea>
    </format>
    <format dxfId="276">
      <pivotArea dataOnly="0" labelOnly="1" fieldPosition="0">
        <references count="3">
          <reference field="8" count="1" selected="0">
            <x v="12"/>
          </reference>
          <reference field="9" count="1" selected="0">
            <x v="13"/>
          </reference>
          <reference field="16" count="5">
            <x v="65"/>
            <x v="72"/>
            <x v="74"/>
            <x v="81"/>
            <x v="87"/>
          </reference>
        </references>
      </pivotArea>
    </format>
    <format dxfId="275">
      <pivotArea dataOnly="0" labelOnly="1" outline="0" fieldPosition="0">
        <references count="4">
          <reference field="8" count="1" selected="0">
            <x v="12"/>
          </reference>
          <reference field="9" count="1" selected="0">
            <x v="13"/>
          </reference>
          <reference field="16" count="1" selected="0">
            <x v="65"/>
          </reference>
          <reference field="19" count="1">
            <x v="11"/>
          </reference>
        </references>
      </pivotArea>
    </format>
    <format dxfId="274">
      <pivotArea dataOnly="0" labelOnly="1" outline="0" fieldPosition="0">
        <references count="4">
          <reference field="8" count="1" selected="0">
            <x v="12"/>
          </reference>
          <reference field="9" count="1" selected="0">
            <x v="13"/>
          </reference>
          <reference field="16" count="1" selected="0">
            <x v="72"/>
          </reference>
          <reference field="19" count="1">
            <x v="3"/>
          </reference>
        </references>
      </pivotArea>
    </format>
    <format dxfId="273">
      <pivotArea dataOnly="0" labelOnly="1" outline="0" fieldPosition="0">
        <references count="4">
          <reference field="8" count="1" selected="0">
            <x v="12"/>
          </reference>
          <reference field="9" count="1" selected="0">
            <x v="13"/>
          </reference>
          <reference field="16" count="1" selected="0">
            <x v="74"/>
          </reference>
          <reference field="19" count="1">
            <x v="14"/>
          </reference>
        </references>
      </pivotArea>
    </format>
    <format dxfId="272">
      <pivotArea dataOnly="0" labelOnly="1" outline="0" fieldPosition="0">
        <references count="4">
          <reference field="8" count="1" selected="0">
            <x v="12"/>
          </reference>
          <reference field="9" count="1" selected="0">
            <x v="13"/>
          </reference>
          <reference field="16" count="1" selected="0">
            <x v="81"/>
          </reference>
          <reference field="19" count="1">
            <x v="14"/>
          </reference>
        </references>
      </pivotArea>
    </format>
    <format dxfId="271">
      <pivotArea dataOnly="0" labelOnly="1" outline="0" fieldPosition="0">
        <references count="4">
          <reference field="8" count="1" selected="0">
            <x v="12"/>
          </reference>
          <reference field="9" count="1" selected="0">
            <x v="13"/>
          </reference>
          <reference field="16" count="1" selected="0">
            <x v="87"/>
          </reference>
          <reference field="19" count="1">
            <x v="12"/>
          </reference>
        </references>
      </pivotArea>
    </format>
    <format dxfId="270">
      <pivotArea outline="0" collapsedLevelsAreSubtotals="1" fieldPosition="0">
        <references count="4">
          <reference field="8" count="1" selected="0">
            <x v="12"/>
          </reference>
          <reference field="9" count="1" selected="0">
            <x v="14"/>
          </reference>
          <reference field="16" count="2" selected="0">
            <x v="70"/>
            <x v="80"/>
          </reference>
          <reference field="19" count="2" selected="0">
            <x v="7"/>
            <x v="11"/>
          </reference>
        </references>
      </pivotArea>
    </format>
    <format dxfId="269">
      <pivotArea dataOnly="0" labelOnly="1" fieldPosition="0">
        <references count="3">
          <reference field="8" count="1" selected="0">
            <x v="12"/>
          </reference>
          <reference field="9" count="1" selected="0">
            <x v="14"/>
          </reference>
          <reference field="16" count="2">
            <x v="70"/>
            <x v="80"/>
          </reference>
        </references>
      </pivotArea>
    </format>
    <format dxfId="268">
      <pivotArea dataOnly="0" labelOnly="1" outline="0" fieldPosition="0">
        <references count="4">
          <reference field="8" count="1" selected="0">
            <x v="12"/>
          </reference>
          <reference field="9" count="1" selected="0">
            <x v="14"/>
          </reference>
          <reference field="16" count="1" selected="0">
            <x v="70"/>
          </reference>
          <reference field="19" count="1">
            <x v="11"/>
          </reference>
        </references>
      </pivotArea>
    </format>
    <format dxfId="267">
      <pivotArea dataOnly="0" labelOnly="1" outline="0" fieldPosition="0">
        <references count="4">
          <reference field="8" count="1" selected="0">
            <x v="12"/>
          </reference>
          <reference field="9" count="1" selected="0">
            <x v="14"/>
          </reference>
          <reference field="16" count="1" selected="0">
            <x v="80"/>
          </reference>
          <reference field="19" count="1">
            <x v="7"/>
          </reference>
        </references>
      </pivotArea>
    </format>
    <format dxfId="266">
      <pivotArea outline="0" collapsedLevelsAreSubtotals="1" fieldPosition="0">
        <references count="4">
          <reference field="8" count="1" selected="0">
            <x v="11"/>
          </reference>
          <reference field="9" count="1" selected="0">
            <x v="0"/>
          </reference>
          <reference field="16" count="4" selected="0">
            <x v="64"/>
            <x v="68"/>
            <x v="73"/>
            <x v="88"/>
          </reference>
          <reference field="19" count="3" selected="0">
            <x v="8"/>
            <x v="12"/>
            <x v="15"/>
          </reference>
        </references>
      </pivotArea>
    </format>
    <format dxfId="265">
      <pivotArea dataOnly="0" labelOnly="1" fieldPosition="0">
        <references count="3">
          <reference field="8" count="1" selected="0">
            <x v="11"/>
          </reference>
          <reference field="9" count="1" selected="0">
            <x v="0"/>
          </reference>
          <reference field="16" count="4">
            <x v="64"/>
            <x v="68"/>
            <x v="73"/>
            <x v="88"/>
          </reference>
        </references>
      </pivotArea>
    </format>
    <format dxfId="264">
      <pivotArea dataOnly="0" labelOnly="1" outline="0" fieldPosition="0">
        <references count="4">
          <reference field="8" count="1" selected="0">
            <x v="11"/>
          </reference>
          <reference field="9" count="1" selected="0">
            <x v="0"/>
          </reference>
          <reference field="16" count="1" selected="0">
            <x v="64"/>
          </reference>
          <reference field="19" count="1">
            <x v="8"/>
          </reference>
        </references>
      </pivotArea>
    </format>
    <format dxfId="263">
      <pivotArea dataOnly="0" labelOnly="1" outline="0" fieldPosition="0">
        <references count="4">
          <reference field="8" count="1" selected="0">
            <x v="11"/>
          </reference>
          <reference field="9" count="1" selected="0">
            <x v="0"/>
          </reference>
          <reference field="16" count="1" selected="0">
            <x v="68"/>
          </reference>
          <reference field="19" count="1">
            <x v="12"/>
          </reference>
        </references>
      </pivotArea>
    </format>
    <format dxfId="262">
      <pivotArea dataOnly="0" labelOnly="1" outline="0" fieldPosition="0">
        <references count="4">
          <reference field="8" count="1" selected="0">
            <x v="11"/>
          </reference>
          <reference field="9" count="1" selected="0">
            <x v="0"/>
          </reference>
          <reference field="16" count="1" selected="0">
            <x v="73"/>
          </reference>
          <reference field="19" count="1">
            <x v="15"/>
          </reference>
        </references>
      </pivotArea>
    </format>
    <format dxfId="261">
      <pivotArea dataOnly="0" labelOnly="1" outline="0" fieldPosition="0">
        <references count="4">
          <reference field="8" count="1" selected="0">
            <x v="11"/>
          </reference>
          <reference field="9" count="1" selected="0">
            <x v="0"/>
          </reference>
          <reference field="16" count="1" selected="0">
            <x v="88"/>
          </reference>
          <reference field="19" count="1">
            <x v="15"/>
          </reference>
        </references>
      </pivotArea>
    </format>
    <format dxfId="260">
      <pivotArea outline="0" collapsedLevelsAreSubtotals="1" fieldPosition="0">
        <references count="4">
          <reference field="8" count="1" selected="0">
            <x v="11"/>
          </reference>
          <reference field="9" count="1" selected="0">
            <x v="2"/>
          </reference>
          <reference field="16" count="1" selected="0">
            <x v="71"/>
          </reference>
          <reference field="19" count="1" selected="0">
            <x v="15"/>
          </reference>
        </references>
      </pivotArea>
    </format>
    <format dxfId="259">
      <pivotArea dataOnly="0" labelOnly="1" fieldPosition="0">
        <references count="3">
          <reference field="8" count="1" selected="0">
            <x v="11"/>
          </reference>
          <reference field="9" count="1" selected="0">
            <x v="2"/>
          </reference>
          <reference field="16" count="1">
            <x v="71"/>
          </reference>
        </references>
      </pivotArea>
    </format>
    <format dxfId="258">
      <pivotArea dataOnly="0" labelOnly="1" outline="0" fieldPosition="0">
        <references count="4">
          <reference field="8" count="1" selected="0">
            <x v="11"/>
          </reference>
          <reference field="9" count="1" selected="0">
            <x v="2"/>
          </reference>
          <reference field="16" count="1" selected="0">
            <x v="71"/>
          </reference>
          <reference field="19" count="1">
            <x v="15"/>
          </reference>
        </references>
      </pivotArea>
    </format>
    <format dxfId="257">
      <pivotArea outline="0" collapsedLevelsAreSubtotals="1" fieldPosition="0">
        <references count="4">
          <reference field="8" count="1" selected="0">
            <x v="11"/>
          </reference>
          <reference field="9" count="1" selected="0">
            <x v="3"/>
          </reference>
          <reference field="16" count="1" selected="0">
            <x v="82"/>
          </reference>
          <reference field="19" count="1" selected="0">
            <x v="15"/>
          </reference>
        </references>
      </pivotArea>
    </format>
    <format dxfId="256">
      <pivotArea dataOnly="0" labelOnly="1" fieldPosition="0">
        <references count="3">
          <reference field="8" count="1" selected="0">
            <x v="11"/>
          </reference>
          <reference field="9" count="1" selected="0">
            <x v="3"/>
          </reference>
          <reference field="16" count="1">
            <x v="82"/>
          </reference>
        </references>
      </pivotArea>
    </format>
    <format dxfId="255">
      <pivotArea dataOnly="0" labelOnly="1" outline="0" fieldPosition="0">
        <references count="4">
          <reference field="8" count="1" selected="0">
            <x v="11"/>
          </reference>
          <reference field="9" count="1" selected="0">
            <x v="3"/>
          </reference>
          <reference field="16" count="1" selected="0">
            <x v="82"/>
          </reference>
          <reference field="19" count="1">
            <x v="15"/>
          </reference>
        </references>
      </pivotArea>
    </format>
    <format dxfId="254">
      <pivotArea outline="0" collapsedLevelsAreSubtotals="1" fieldPosition="0">
        <references count="4">
          <reference field="8" count="1" selected="0">
            <x v="11"/>
          </reference>
          <reference field="9" count="1" selected="0">
            <x v="3"/>
          </reference>
          <reference field="16" count="1" selected="0">
            <x v="82"/>
          </reference>
          <reference field="19" count="1" selected="0">
            <x v="15"/>
          </reference>
        </references>
      </pivotArea>
    </format>
    <format dxfId="253">
      <pivotArea dataOnly="0" labelOnly="1" fieldPosition="0">
        <references count="3">
          <reference field="8" count="1" selected="0">
            <x v="11"/>
          </reference>
          <reference field="9" count="1" selected="0">
            <x v="3"/>
          </reference>
          <reference field="16" count="1">
            <x v="82"/>
          </reference>
        </references>
      </pivotArea>
    </format>
    <format dxfId="252">
      <pivotArea dataOnly="0" labelOnly="1" outline="0" fieldPosition="0">
        <references count="4">
          <reference field="8" count="1" selected="0">
            <x v="11"/>
          </reference>
          <reference field="9" count="1" selected="0">
            <x v="3"/>
          </reference>
          <reference field="16" count="1" selected="0">
            <x v="82"/>
          </reference>
          <reference field="19" count="1">
            <x v="15"/>
          </reference>
        </references>
      </pivotArea>
    </format>
    <format dxfId="251">
      <pivotArea outline="0" collapsedLevelsAreSubtotals="1" fieldPosition="0">
        <references count="4">
          <reference field="8" count="1" selected="0">
            <x v="11"/>
          </reference>
          <reference field="9" count="1" selected="0">
            <x v="14"/>
          </reference>
          <reference field="16" count="4" selected="0">
            <x v="77"/>
            <x v="79"/>
            <x v="83"/>
            <x v="84"/>
          </reference>
          <reference field="19" count="4" selected="0">
            <x v="0"/>
            <x v="11"/>
            <x v="14"/>
            <x v="15"/>
          </reference>
        </references>
      </pivotArea>
    </format>
    <format dxfId="250">
      <pivotArea dataOnly="0" labelOnly="1" fieldPosition="0">
        <references count="3">
          <reference field="8" count="1" selected="0">
            <x v="11"/>
          </reference>
          <reference field="9" count="1" selected="0">
            <x v="14"/>
          </reference>
          <reference field="16" count="4">
            <x v="77"/>
            <x v="79"/>
            <x v="83"/>
            <x v="84"/>
          </reference>
        </references>
      </pivotArea>
    </format>
    <format dxfId="249">
      <pivotArea dataOnly="0" labelOnly="1" outline="0" fieldPosition="0">
        <references count="4">
          <reference field="8" count="1" selected="0">
            <x v="11"/>
          </reference>
          <reference field="9" count="1" selected="0">
            <x v="14"/>
          </reference>
          <reference field="16" count="1" selected="0">
            <x v="77"/>
          </reference>
          <reference field="19" count="1">
            <x v="14"/>
          </reference>
        </references>
      </pivotArea>
    </format>
    <format dxfId="248">
      <pivotArea dataOnly="0" labelOnly="1" outline="0" fieldPosition="0">
        <references count="4">
          <reference field="8" count="1" selected="0">
            <x v="11"/>
          </reference>
          <reference field="9" count="1" selected="0">
            <x v="14"/>
          </reference>
          <reference field="16" count="1" selected="0">
            <x v="79"/>
          </reference>
          <reference field="19" count="1">
            <x v="0"/>
          </reference>
        </references>
      </pivotArea>
    </format>
    <format dxfId="247">
      <pivotArea dataOnly="0" labelOnly="1" outline="0" fieldPosition="0">
        <references count="4">
          <reference field="8" count="1" selected="0">
            <x v="11"/>
          </reference>
          <reference field="9" count="1" selected="0">
            <x v="14"/>
          </reference>
          <reference field="16" count="1" selected="0">
            <x v="83"/>
          </reference>
          <reference field="19" count="1">
            <x v="11"/>
          </reference>
        </references>
      </pivotArea>
    </format>
    <format dxfId="246">
      <pivotArea dataOnly="0" labelOnly="1" outline="0" fieldPosition="0">
        <references count="4">
          <reference field="8" count="1" selected="0">
            <x v="11"/>
          </reference>
          <reference field="9" count="1" selected="0">
            <x v="14"/>
          </reference>
          <reference field="16" count="1" selected="0">
            <x v="84"/>
          </reference>
          <reference field="19" count="1">
            <x v="15"/>
          </reference>
        </references>
      </pivotArea>
    </format>
    <format dxfId="245">
      <pivotArea outline="0" collapsedLevelsAreSubtotals="1" fieldPosition="0">
        <references count="4">
          <reference field="8" count="1" selected="0">
            <x v="10"/>
          </reference>
          <reference field="9" count="1" selected="0">
            <x v="12"/>
          </reference>
          <reference field="16" count="3" selected="0">
            <x v="63"/>
            <x v="67"/>
            <x v="75"/>
          </reference>
          <reference field="19" count="1" selected="0">
            <x v="15"/>
          </reference>
        </references>
      </pivotArea>
    </format>
    <format dxfId="244">
      <pivotArea dataOnly="0" labelOnly="1" fieldPosition="0">
        <references count="3">
          <reference field="8" count="1" selected="0">
            <x v="10"/>
          </reference>
          <reference field="9" count="1" selected="0">
            <x v="12"/>
          </reference>
          <reference field="16" count="3">
            <x v="63"/>
            <x v="67"/>
            <x v="75"/>
          </reference>
        </references>
      </pivotArea>
    </format>
    <format dxfId="243">
      <pivotArea dataOnly="0" labelOnly="1" outline="0" fieldPosition="0">
        <references count="4">
          <reference field="8" count="1" selected="0">
            <x v="10"/>
          </reference>
          <reference field="9" count="1" selected="0">
            <x v="12"/>
          </reference>
          <reference field="16" count="1" selected="0">
            <x v="63"/>
          </reference>
          <reference field="19" count="1">
            <x v="15"/>
          </reference>
        </references>
      </pivotArea>
    </format>
    <format dxfId="242">
      <pivotArea dataOnly="0" labelOnly="1" outline="0" fieldPosition="0">
        <references count="4">
          <reference field="8" count="1" selected="0">
            <x v="10"/>
          </reference>
          <reference field="9" count="1" selected="0">
            <x v="12"/>
          </reference>
          <reference field="16" count="1" selected="0">
            <x v="67"/>
          </reference>
          <reference field="19" count="1">
            <x v="15"/>
          </reference>
        </references>
      </pivotArea>
    </format>
    <format dxfId="241">
      <pivotArea dataOnly="0" labelOnly="1" outline="0" fieldPosition="0">
        <references count="4">
          <reference field="8" count="1" selected="0">
            <x v="10"/>
          </reference>
          <reference field="9" count="1" selected="0">
            <x v="12"/>
          </reference>
          <reference field="16" count="1" selected="0">
            <x v="75"/>
          </reference>
          <reference field="19" count="1">
            <x v="15"/>
          </reference>
        </references>
      </pivotArea>
    </format>
    <format dxfId="240">
      <pivotArea outline="0" collapsedLevelsAreSubtotals="1" fieldPosition="0">
        <references count="4">
          <reference field="8" count="1" selected="0">
            <x v="9"/>
          </reference>
          <reference field="9" count="1" selected="0">
            <x v="1"/>
          </reference>
          <reference field="16" count="1" selected="0">
            <x v="62"/>
          </reference>
          <reference field="19" count="1" selected="0">
            <x v="15"/>
          </reference>
        </references>
      </pivotArea>
    </format>
    <format dxfId="239">
      <pivotArea dataOnly="0" labelOnly="1" fieldPosition="0">
        <references count="3">
          <reference field="8" count="1" selected="0">
            <x v="9"/>
          </reference>
          <reference field="9" count="1" selected="0">
            <x v="1"/>
          </reference>
          <reference field="16" count="1">
            <x v="62"/>
          </reference>
        </references>
      </pivotArea>
    </format>
    <format dxfId="238">
      <pivotArea dataOnly="0" labelOnly="1" outline="0" fieldPosition="0">
        <references count="4">
          <reference field="8" count="1" selected="0">
            <x v="9"/>
          </reference>
          <reference field="9" count="1" selected="0">
            <x v="1"/>
          </reference>
          <reference field="16" count="1" selected="0">
            <x v="62"/>
          </reference>
          <reference field="19" count="1">
            <x v="15"/>
          </reference>
        </references>
      </pivotArea>
    </format>
    <format dxfId="237">
      <pivotArea outline="0" collapsedLevelsAreSubtotals="1" fieldPosition="0">
        <references count="2">
          <reference field="8" count="1" selected="0">
            <x v="8"/>
          </reference>
          <reference field="9" count="1" selected="0" defaultSubtotal="1">
            <x v="4"/>
          </reference>
        </references>
      </pivotArea>
    </format>
    <format dxfId="236">
      <pivotArea dataOnly="0" labelOnly="1" offset="B256:IV256" fieldPosition="0">
        <references count="2">
          <reference field="8" count="1" selected="0">
            <x v="8"/>
          </reference>
          <reference field="9" count="1" defaultSubtotal="1">
            <x v="4"/>
          </reference>
        </references>
      </pivotArea>
    </format>
    <format dxfId="235">
      <pivotArea outline="0" collapsedLevelsAreSubtotals="1" fieldPosition="0">
        <references count="2">
          <reference field="8" count="1" selected="0">
            <x v="8"/>
          </reference>
          <reference field="9" count="1" selected="0" defaultSubtotal="1">
            <x v="11"/>
          </reference>
        </references>
      </pivotArea>
    </format>
    <format dxfId="234">
      <pivotArea dataOnly="0" labelOnly="1" offset="B256:IV256" fieldPosition="0">
        <references count="2">
          <reference field="8" count="1" selected="0">
            <x v="8"/>
          </reference>
          <reference field="9" count="1" defaultSubtotal="1">
            <x v="11"/>
          </reference>
        </references>
      </pivotArea>
    </format>
    <format dxfId="233">
      <pivotArea outline="0" collapsedLevelsAreSubtotals="1" fieldPosition="0">
        <references count="2">
          <reference field="8" count="1" selected="0">
            <x v="8"/>
          </reference>
          <reference field="9" count="1" selected="0" defaultSubtotal="1">
            <x v="15"/>
          </reference>
        </references>
      </pivotArea>
    </format>
    <format dxfId="232">
      <pivotArea dataOnly="0" labelOnly="1" offset="B256:IV256" fieldPosition="0">
        <references count="2">
          <reference field="8" count="1" selected="0">
            <x v="8"/>
          </reference>
          <reference field="9" count="1" defaultSubtotal="1">
            <x v="15"/>
          </reference>
        </references>
      </pivotArea>
    </format>
    <format dxfId="231">
      <pivotArea outline="0" collapsedLevelsAreSubtotals="1" fieldPosition="0">
        <references count="2">
          <reference field="8" count="1" selected="0">
            <x v="2"/>
          </reference>
          <reference field="9" count="1" selected="0" defaultSubtotal="1">
            <x v="0"/>
          </reference>
        </references>
      </pivotArea>
    </format>
    <format dxfId="230">
      <pivotArea dataOnly="0" labelOnly="1" offset="B256:IV256" fieldPosition="0">
        <references count="2">
          <reference field="8" count="1" selected="0">
            <x v="2"/>
          </reference>
          <reference field="9" count="1" defaultSubtotal="1">
            <x v="0"/>
          </reference>
        </references>
      </pivotArea>
    </format>
    <format dxfId="229">
      <pivotArea dataOnly="0" labelOnly="1" offset="A256" fieldPosition="0">
        <references count="2">
          <reference field="8" count="1" selected="0">
            <x v="2"/>
          </reference>
          <reference field="9" count="1" defaultSubtotal="1">
            <x v="0"/>
          </reference>
        </references>
      </pivotArea>
    </format>
    <format dxfId="228">
      <pivotArea dataOnly="0" labelOnly="1" offset="A256" fieldPosition="0">
        <references count="2">
          <reference field="8" count="1" selected="0">
            <x v="8"/>
          </reference>
          <reference field="9" count="1" defaultSubtotal="1">
            <x v="11"/>
          </reference>
        </references>
      </pivotArea>
    </format>
    <format dxfId="227">
      <pivotArea outline="0" collapsedLevelsAreSubtotals="1" fieldPosition="0">
        <references count="2">
          <reference field="8" count="1" selected="0">
            <x v="2"/>
          </reference>
          <reference field="9" count="1" selected="0" defaultSubtotal="1">
            <x v="2"/>
          </reference>
        </references>
      </pivotArea>
    </format>
    <format dxfId="226">
      <pivotArea dataOnly="0" labelOnly="1" fieldPosition="0">
        <references count="2">
          <reference field="8" count="1" selected="0">
            <x v="2"/>
          </reference>
          <reference field="9" count="1" defaultSubtotal="1">
            <x v="2"/>
          </reference>
        </references>
      </pivotArea>
    </format>
    <format dxfId="225">
      <pivotArea outline="0" collapsedLevelsAreSubtotals="1" fieldPosition="0">
        <references count="2">
          <reference field="8" count="1" selected="0">
            <x v="2"/>
          </reference>
          <reference field="9" count="1" selected="0" defaultSubtotal="1">
            <x v="3"/>
          </reference>
        </references>
      </pivotArea>
    </format>
    <format dxfId="224">
      <pivotArea dataOnly="0" labelOnly="1" fieldPosition="0">
        <references count="2">
          <reference field="8" count="1" selected="0">
            <x v="2"/>
          </reference>
          <reference field="9" count="1" defaultSubtotal="1">
            <x v="3"/>
          </reference>
        </references>
      </pivotArea>
    </format>
    <format dxfId="223">
      <pivotArea outline="0" collapsedLevelsAreSubtotals="1" fieldPosition="0">
        <references count="2">
          <reference field="8" count="1" selected="0">
            <x v="2"/>
          </reference>
          <reference field="9" count="1" selected="0" defaultSubtotal="1">
            <x v="8"/>
          </reference>
        </references>
      </pivotArea>
    </format>
    <format dxfId="222">
      <pivotArea dataOnly="0" labelOnly="1" fieldPosition="0">
        <references count="2">
          <reference field="8" count="1" selected="0">
            <x v="2"/>
          </reference>
          <reference field="9" count="1" defaultSubtotal="1">
            <x v="8"/>
          </reference>
        </references>
      </pivotArea>
    </format>
    <format dxfId="221">
      <pivotArea outline="0" collapsedLevelsAreSubtotals="1" fieldPosition="0">
        <references count="2">
          <reference field="8" count="1" selected="0">
            <x v="2"/>
          </reference>
          <reference field="9" count="1" selected="0" defaultSubtotal="1">
            <x v="9"/>
          </reference>
        </references>
      </pivotArea>
    </format>
    <format dxfId="220">
      <pivotArea dataOnly="0" labelOnly="1" fieldPosition="0">
        <references count="2">
          <reference field="8" count="1" selected="0">
            <x v="2"/>
          </reference>
          <reference field="9" count="1" defaultSubtotal="1">
            <x v="9"/>
          </reference>
        </references>
      </pivotArea>
    </format>
    <format dxfId="219">
      <pivotArea outline="0" collapsedLevelsAreSubtotals="1" fieldPosition="0">
        <references count="2">
          <reference field="8" count="1" selected="0">
            <x v="5"/>
          </reference>
          <reference field="9" count="1" selected="0" defaultSubtotal="1">
            <x v="2"/>
          </reference>
        </references>
      </pivotArea>
    </format>
    <format dxfId="218">
      <pivotArea dataOnly="0" labelOnly="1" fieldPosition="0">
        <references count="2">
          <reference field="8" count="1" selected="0">
            <x v="5"/>
          </reference>
          <reference field="9" count="1" defaultSubtotal="1">
            <x v="2"/>
          </reference>
        </references>
      </pivotArea>
    </format>
    <format dxfId="217">
      <pivotArea outline="0" collapsedLevelsAreSubtotals="1" fieldPosition="0">
        <references count="2">
          <reference field="8" count="1" selected="0">
            <x v="5"/>
          </reference>
          <reference field="9" count="1" selected="0" defaultSubtotal="1">
            <x v="7"/>
          </reference>
        </references>
      </pivotArea>
    </format>
    <format dxfId="216">
      <pivotArea dataOnly="0" labelOnly="1" fieldPosition="0">
        <references count="2">
          <reference field="8" count="1" selected="0">
            <x v="5"/>
          </reference>
          <reference field="9" count="1" defaultSubtotal="1">
            <x v="7"/>
          </reference>
        </references>
      </pivotArea>
    </format>
    <format dxfId="215">
      <pivotArea outline="0" collapsedLevelsAreSubtotals="1" fieldPosition="0">
        <references count="2">
          <reference field="8" count="1" selected="0">
            <x v="5"/>
          </reference>
          <reference field="9" count="1" selected="0" defaultSubtotal="1">
            <x v="13"/>
          </reference>
        </references>
      </pivotArea>
    </format>
    <format dxfId="214">
      <pivotArea dataOnly="0" labelOnly="1" fieldPosition="0">
        <references count="2">
          <reference field="8" count="1" selected="0">
            <x v="5"/>
          </reference>
          <reference field="9" count="1" defaultSubtotal="1">
            <x v="13"/>
          </reference>
        </references>
      </pivotArea>
    </format>
    <format dxfId="213">
      <pivotArea outline="0" collapsedLevelsAreSubtotals="1" fieldPosition="0">
        <references count="2">
          <reference field="8" count="1" selected="0">
            <x v="5"/>
          </reference>
          <reference field="9" count="1" selected="0" defaultSubtotal="1">
            <x v="16"/>
          </reference>
        </references>
      </pivotArea>
    </format>
    <format dxfId="212">
      <pivotArea dataOnly="0" labelOnly="1" fieldPosition="0">
        <references count="2">
          <reference field="8" count="1" selected="0">
            <x v="5"/>
          </reference>
          <reference field="9" count="1" defaultSubtotal="1">
            <x v="16"/>
          </reference>
        </references>
      </pivotArea>
    </format>
    <format dxfId="211">
      <pivotArea dataOnly="0" labelOnly="1" fieldPosition="0">
        <references count="3">
          <reference field="8" count="1" selected="0">
            <x v="19"/>
          </reference>
          <reference field="9" count="1" selected="0">
            <x v="11"/>
          </reference>
          <reference field="16" count="2">
            <x v="108"/>
            <x v="151"/>
          </reference>
        </references>
      </pivotArea>
    </format>
    <format dxfId="210">
      <pivotArea dataOnly="0" labelOnly="1" outline="0" fieldPosition="0">
        <references count="4">
          <reference field="8" count="1" selected="0">
            <x v="19"/>
          </reference>
          <reference field="9" count="1" selected="0">
            <x v="11"/>
          </reference>
          <reference field="16" count="1" selected="0">
            <x v="108"/>
          </reference>
          <reference field="19" count="1">
            <x v="15"/>
          </reference>
        </references>
      </pivotArea>
    </format>
    <format dxfId="209">
      <pivotArea dataOnly="0" labelOnly="1" outline="0" fieldPosition="0">
        <references count="4">
          <reference field="8" count="1" selected="0">
            <x v="19"/>
          </reference>
          <reference field="9" count="1" selected="0">
            <x v="11"/>
          </reference>
          <reference field="16" count="1" selected="0">
            <x v="151"/>
          </reference>
          <reference field="19" count="1">
            <x v="15"/>
          </reference>
        </references>
      </pivotArea>
    </format>
    <format dxfId="208">
      <pivotArea dataOnly="0" labelOnly="1" fieldPosition="0">
        <references count="3">
          <reference field="8" count="1" selected="0">
            <x v="17"/>
          </reference>
          <reference field="9" count="1" selected="0">
            <x v="14"/>
          </reference>
          <reference field="16" count="3">
            <x v="98"/>
            <x v="120"/>
            <x v="142"/>
          </reference>
        </references>
      </pivotArea>
    </format>
    <format dxfId="207">
      <pivotArea dataOnly="0" labelOnly="1" outline="0" fieldPosition="0">
        <references count="4">
          <reference field="8" count="1" selected="0">
            <x v="17"/>
          </reference>
          <reference field="9" count="1" selected="0">
            <x v="14"/>
          </reference>
          <reference field="16" count="1" selected="0">
            <x v="98"/>
          </reference>
          <reference field="19" count="1">
            <x v="15"/>
          </reference>
        </references>
      </pivotArea>
    </format>
    <format dxfId="206">
      <pivotArea dataOnly="0" labelOnly="1" outline="0" fieldPosition="0">
        <references count="4">
          <reference field="8" count="1" selected="0">
            <x v="17"/>
          </reference>
          <reference field="9" count="1" selected="0">
            <x v="14"/>
          </reference>
          <reference field="16" count="1" selected="0">
            <x v="120"/>
          </reference>
          <reference field="19" count="1">
            <x v="11"/>
          </reference>
        </references>
      </pivotArea>
    </format>
    <format dxfId="205">
      <pivotArea dataOnly="0" labelOnly="1" outline="0" fieldPosition="0">
        <references count="4">
          <reference field="8" count="1" selected="0">
            <x v="17"/>
          </reference>
          <reference field="9" count="1" selected="0">
            <x v="14"/>
          </reference>
          <reference field="16" count="1" selected="0">
            <x v="142"/>
          </reference>
          <reference field="19" count="1">
            <x v="13"/>
          </reference>
        </references>
      </pivotArea>
    </format>
    <format dxfId="204">
      <pivotArea dataOnly="0" labelOnly="1" fieldPosition="0">
        <references count="3">
          <reference field="8" count="1" selected="0">
            <x v="17"/>
          </reference>
          <reference field="9" count="1" selected="0">
            <x v="13"/>
          </reference>
          <reference field="16" count="1">
            <x v="129"/>
          </reference>
        </references>
      </pivotArea>
    </format>
    <format dxfId="203">
      <pivotArea dataOnly="0" labelOnly="1" outline="0" fieldPosition="0">
        <references count="4">
          <reference field="8" count="1" selected="0">
            <x v="17"/>
          </reference>
          <reference field="9" count="1" selected="0">
            <x v="13"/>
          </reference>
          <reference field="16" count="1" selected="0">
            <x v="129"/>
          </reference>
          <reference field="19" count="1">
            <x v="15"/>
          </reference>
        </references>
      </pivotArea>
    </format>
    <format dxfId="202">
      <pivotArea dataOnly="0" labelOnly="1" fieldPosition="0">
        <references count="3">
          <reference field="8" count="1" selected="0">
            <x v="17"/>
          </reference>
          <reference field="9" count="1" selected="0">
            <x v="2"/>
          </reference>
          <reference field="16" count="2">
            <x v="131"/>
            <x v="172"/>
          </reference>
        </references>
      </pivotArea>
    </format>
    <format dxfId="201">
      <pivotArea dataOnly="0" labelOnly="1" outline="0" fieldPosition="0">
        <references count="4">
          <reference field="8" count="1" selected="0">
            <x v="17"/>
          </reference>
          <reference field="9" count="1" selected="0">
            <x v="2"/>
          </reference>
          <reference field="16" count="1" selected="0">
            <x v="131"/>
          </reference>
          <reference field="19" count="1">
            <x v="15"/>
          </reference>
        </references>
      </pivotArea>
    </format>
    <format dxfId="200">
      <pivotArea dataOnly="0" labelOnly="1" outline="0" fieldPosition="0">
        <references count="4">
          <reference field="8" count="1" selected="0">
            <x v="17"/>
          </reference>
          <reference field="9" count="1" selected="0">
            <x v="2"/>
          </reference>
          <reference field="16" count="1" selected="0">
            <x v="172"/>
          </reference>
          <reference field="19" count="1">
            <x v="11"/>
          </reference>
        </references>
      </pivotArea>
    </format>
    <format dxfId="199">
      <pivotArea dataOnly="0" labelOnly="1" fieldPosition="0">
        <references count="3">
          <reference field="8" count="1" selected="0">
            <x v="16"/>
          </reference>
          <reference field="9" count="1" selected="0">
            <x v="14"/>
          </reference>
          <reference field="16" count="2">
            <x v="104"/>
            <x v="174"/>
          </reference>
        </references>
      </pivotArea>
    </format>
    <format dxfId="198">
      <pivotArea dataOnly="0" labelOnly="1" outline="0" fieldPosition="0">
        <references count="4">
          <reference field="8" count="1" selected="0">
            <x v="16"/>
          </reference>
          <reference field="9" count="1" selected="0">
            <x v="14"/>
          </reference>
          <reference field="16" count="1" selected="0">
            <x v="104"/>
          </reference>
          <reference field="19" count="1">
            <x v="15"/>
          </reference>
        </references>
      </pivotArea>
    </format>
    <format dxfId="197">
      <pivotArea dataOnly="0" labelOnly="1" outline="0" fieldPosition="0">
        <references count="4">
          <reference field="8" count="1" selected="0">
            <x v="16"/>
          </reference>
          <reference field="9" count="1" selected="0">
            <x v="14"/>
          </reference>
          <reference field="16" count="1" selected="0">
            <x v="174"/>
          </reference>
          <reference field="19" count="1">
            <x v="11"/>
          </reference>
        </references>
      </pivotArea>
    </format>
    <format dxfId="196">
      <pivotArea dataOnly="0" labelOnly="1" fieldPosition="0">
        <references count="3">
          <reference field="8" count="1" selected="0">
            <x v="16"/>
          </reference>
          <reference field="9" count="1" selected="0">
            <x v="3"/>
          </reference>
          <reference field="16" count="1">
            <x v="132"/>
          </reference>
        </references>
      </pivotArea>
    </format>
    <format dxfId="195">
      <pivotArea dataOnly="0" labelOnly="1" outline="0" fieldPosition="0">
        <references count="4">
          <reference field="8" count="1" selected="0">
            <x v="16"/>
          </reference>
          <reference field="9" count="1" selected="0">
            <x v="3"/>
          </reference>
          <reference field="16" count="1" selected="0">
            <x v="132"/>
          </reference>
          <reference field="19" count="1">
            <x v="11"/>
          </reference>
        </references>
      </pivotArea>
    </format>
    <format dxfId="194">
      <pivotArea dataOnly="0" labelOnly="1" fieldPosition="0">
        <references count="3">
          <reference field="8" count="1" selected="0">
            <x v="16"/>
          </reference>
          <reference field="9" count="1" selected="0">
            <x v="2"/>
          </reference>
          <reference field="16" count="1">
            <x v="137"/>
          </reference>
        </references>
      </pivotArea>
    </format>
    <format dxfId="193">
      <pivotArea dataOnly="0" labelOnly="1" outline="0" fieldPosition="0">
        <references count="4">
          <reference field="8" count="1" selected="0">
            <x v="16"/>
          </reference>
          <reference field="9" count="1" selected="0">
            <x v="2"/>
          </reference>
          <reference field="16" count="1" selected="0">
            <x v="137"/>
          </reference>
          <reference field="19" count="1">
            <x v="12"/>
          </reference>
        </references>
      </pivotArea>
    </format>
    <format dxfId="192">
      <pivotArea dataOnly="0" labelOnly="1" fieldPosition="0">
        <references count="3">
          <reference field="8" count="1" selected="0">
            <x v="16"/>
          </reference>
          <reference field="9" count="1" selected="0">
            <x v="0"/>
          </reference>
          <reference field="16" count="9">
            <x v="0"/>
            <x v="96"/>
            <x v="116"/>
            <x v="124"/>
            <x v="125"/>
            <x v="143"/>
            <x v="156"/>
            <x v="171"/>
            <x v="183"/>
          </reference>
        </references>
      </pivotArea>
    </format>
    <format dxfId="191">
      <pivotArea dataOnly="0" labelOnly="1" outline="0" fieldPosition="0">
        <references count="4">
          <reference field="8" count="1" selected="0">
            <x v="16"/>
          </reference>
          <reference field="9" count="1" selected="0">
            <x v="0"/>
          </reference>
          <reference field="16" count="1" selected="0">
            <x v="0"/>
          </reference>
          <reference field="19" count="1">
            <x v="8"/>
          </reference>
        </references>
      </pivotArea>
    </format>
    <format dxfId="190">
      <pivotArea dataOnly="0" labelOnly="1" outline="0" fieldPosition="0">
        <references count="4">
          <reference field="8" count="1" selected="0">
            <x v="16"/>
          </reference>
          <reference field="9" count="1" selected="0">
            <x v="0"/>
          </reference>
          <reference field="16" count="1" selected="0">
            <x v="96"/>
          </reference>
          <reference field="19" count="1">
            <x v="11"/>
          </reference>
        </references>
      </pivotArea>
    </format>
    <format dxfId="189">
      <pivotArea dataOnly="0" labelOnly="1" outline="0" fieldPosition="0">
        <references count="4">
          <reference field="8" count="1" selected="0">
            <x v="16"/>
          </reference>
          <reference field="9" count="1" selected="0">
            <x v="0"/>
          </reference>
          <reference field="16" count="1" selected="0">
            <x v="116"/>
          </reference>
          <reference field="19" count="2">
            <x v="7"/>
            <x v="15"/>
          </reference>
        </references>
      </pivotArea>
    </format>
    <format dxfId="188">
      <pivotArea dataOnly="0" labelOnly="1" outline="0" fieldPosition="0">
        <references count="4">
          <reference field="8" count="1" selected="0">
            <x v="16"/>
          </reference>
          <reference field="9" count="1" selected="0">
            <x v="0"/>
          </reference>
          <reference field="16" count="1" selected="0">
            <x v="124"/>
          </reference>
          <reference field="19" count="1">
            <x v="15"/>
          </reference>
        </references>
      </pivotArea>
    </format>
    <format dxfId="187">
      <pivotArea dataOnly="0" labelOnly="1" outline="0" fieldPosition="0">
        <references count="4">
          <reference field="8" count="1" selected="0">
            <x v="16"/>
          </reference>
          <reference field="9" count="1" selected="0">
            <x v="0"/>
          </reference>
          <reference field="16" count="1" selected="0">
            <x v="125"/>
          </reference>
          <reference field="19" count="1">
            <x v="15"/>
          </reference>
        </references>
      </pivotArea>
    </format>
    <format dxfId="186">
      <pivotArea dataOnly="0" labelOnly="1" outline="0" fieldPosition="0">
        <references count="4">
          <reference field="8" count="1" selected="0">
            <x v="16"/>
          </reference>
          <reference field="9" count="1" selected="0">
            <x v="0"/>
          </reference>
          <reference field="16" count="1" selected="0">
            <x v="143"/>
          </reference>
          <reference field="19" count="1">
            <x v="19"/>
          </reference>
        </references>
      </pivotArea>
    </format>
    <format dxfId="185">
      <pivotArea dataOnly="0" labelOnly="1" outline="0" fieldPosition="0">
        <references count="4">
          <reference field="8" count="1" selected="0">
            <x v="16"/>
          </reference>
          <reference field="9" count="1" selected="0">
            <x v="0"/>
          </reference>
          <reference field="16" count="1" selected="0">
            <x v="156"/>
          </reference>
          <reference field="19" count="1">
            <x v="19"/>
          </reference>
        </references>
      </pivotArea>
    </format>
    <format dxfId="184">
      <pivotArea dataOnly="0" labelOnly="1" outline="0" fieldPosition="0">
        <references count="4">
          <reference field="8" count="1" selected="0">
            <x v="16"/>
          </reference>
          <reference field="9" count="1" selected="0">
            <x v="0"/>
          </reference>
          <reference field="16" count="1" selected="0">
            <x v="171"/>
          </reference>
          <reference field="19" count="1">
            <x v="7"/>
          </reference>
        </references>
      </pivotArea>
    </format>
    <format dxfId="183">
      <pivotArea dataOnly="0" labelOnly="1" outline="0" fieldPosition="0">
        <references count="4">
          <reference field="8" count="1" selected="0">
            <x v="16"/>
          </reference>
          <reference field="9" count="1" selected="0">
            <x v="0"/>
          </reference>
          <reference field="16" count="1" selected="0">
            <x v="183"/>
          </reference>
          <reference field="19" count="1">
            <x v="11"/>
          </reference>
        </references>
      </pivotArea>
    </format>
    <format dxfId="182">
      <pivotArea dataOnly="0" labelOnly="1" fieldPosition="0">
        <references count="3">
          <reference field="8" count="1" selected="0">
            <x v="20"/>
          </reference>
          <reference field="9" count="1" selected="0">
            <x v="21"/>
          </reference>
          <reference field="16" count="1">
            <x v="133"/>
          </reference>
        </references>
      </pivotArea>
    </format>
    <format dxfId="181">
      <pivotArea dataOnly="0" labelOnly="1" outline="0" fieldPosition="0">
        <references count="4">
          <reference field="8" count="1" selected="0">
            <x v="20"/>
          </reference>
          <reference field="9" count="1" selected="0">
            <x v="21"/>
          </reference>
          <reference field="16" count="1" selected="0">
            <x v="133"/>
          </reference>
          <reference field="19" count="2">
            <x v="13"/>
            <x v="16"/>
          </reference>
        </references>
      </pivotArea>
    </format>
    <format dxfId="180">
      <pivotArea dataOnly="0" labelOnly="1" fieldPosition="0">
        <references count="3">
          <reference field="8" count="1" selected="0">
            <x v="20"/>
          </reference>
          <reference field="9" count="1" selected="0">
            <x v="3"/>
          </reference>
          <reference field="16" count="1">
            <x v="150"/>
          </reference>
        </references>
      </pivotArea>
    </format>
    <format dxfId="179">
      <pivotArea dataOnly="0" labelOnly="1" outline="0" fieldPosition="0">
        <references count="4">
          <reference field="8" count="1" selected="0">
            <x v="20"/>
          </reference>
          <reference field="9" count="1" selected="0">
            <x v="3"/>
          </reference>
          <reference field="16" count="1" selected="0">
            <x v="150"/>
          </reference>
          <reference field="19" count="1">
            <x v="11"/>
          </reference>
        </references>
      </pivotArea>
    </format>
    <format dxfId="178">
      <pivotArea dataOnly="0" labelOnly="1" fieldPosition="0">
        <references count="3">
          <reference field="8" count="1" selected="0">
            <x v="20"/>
          </reference>
          <reference field="9" count="1" selected="0">
            <x v="2"/>
          </reference>
          <reference field="16" count="1">
            <x v="113"/>
          </reference>
        </references>
      </pivotArea>
    </format>
    <format dxfId="177">
      <pivotArea dataOnly="0" labelOnly="1" outline="0" fieldPosition="0">
        <references count="4">
          <reference field="8" count="1" selected="0">
            <x v="20"/>
          </reference>
          <reference field="9" count="1" selected="0">
            <x v="2"/>
          </reference>
          <reference field="16" count="1" selected="0">
            <x v="113"/>
          </reference>
          <reference field="19" count="1">
            <x v="11"/>
          </reference>
        </references>
      </pivotArea>
    </format>
    <format dxfId="176">
      <pivotArea dataOnly="0" labelOnly="1" fieldPosition="0">
        <references count="3">
          <reference field="8" count="1" selected="0">
            <x v="20"/>
          </reference>
          <reference field="9" count="1" selected="0">
            <x v="0"/>
          </reference>
          <reference field="16" count="1">
            <x v="188"/>
          </reference>
        </references>
      </pivotArea>
    </format>
    <format dxfId="175">
      <pivotArea dataOnly="0" labelOnly="1" outline="0" fieldPosition="0">
        <references count="4">
          <reference field="8" count="1" selected="0">
            <x v="20"/>
          </reference>
          <reference field="9" count="1" selected="0">
            <x v="0"/>
          </reference>
          <reference field="16" count="1" selected="0">
            <x v="188"/>
          </reference>
          <reference field="19" count="1">
            <x v="15"/>
          </reference>
        </references>
      </pivotArea>
    </format>
    <format dxfId="174">
      <pivotArea dataOnly="0" labelOnly="1" fieldPosition="0">
        <references count="3">
          <reference field="8" count="1" selected="0">
            <x v="6"/>
          </reference>
          <reference field="9" count="1" selected="0">
            <x v="2"/>
          </reference>
          <reference field="16" count="3">
            <x v="134"/>
            <x v="190"/>
            <x v="194"/>
          </reference>
        </references>
      </pivotArea>
    </format>
    <format dxfId="173">
      <pivotArea dataOnly="0" labelOnly="1" outline="0" fieldPosition="0">
        <references count="4">
          <reference field="8" count="1" selected="0">
            <x v="6"/>
          </reference>
          <reference field="9" count="1" selected="0">
            <x v="2"/>
          </reference>
          <reference field="16" count="1" selected="0">
            <x v="134"/>
          </reference>
          <reference field="19" count="1">
            <x v="15"/>
          </reference>
        </references>
      </pivotArea>
    </format>
    <format dxfId="172">
      <pivotArea dataOnly="0" labelOnly="1" outline="0" fieldPosition="0">
        <references count="4">
          <reference field="8" count="1" selected="0">
            <x v="6"/>
          </reference>
          <reference field="9" count="1" selected="0">
            <x v="2"/>
          </reference>
          <reference field="16" count="1" selected="0">
            <x v="190"/>
          </reference>
          <reference field="19" count="1">
            <x v="11"/>
          </reference>
        </references>
      </pivotArea>
    </format>
    <format dxfId="171">
      <pivotArea dataOnly="0" labelOnly="1" outline="0" fieldPosition="0">
        <references count="4">
          <reference field="8" count="1" selected="0">
            <x v="6"/>
          </reference>
          <reference field="9" count="1" selected="0">
            <x v="2"/>
          </reference>
          <reference field="16" count="1" selected="0">
            <x v="194"/>
          </reference>
          <reference field="19" count="1">
            <x v="15"/>
          </reference>
        </references>
      </pivotArea>
    </format>
    <format dxfId="170">
      <pivotArea dataOnly="0" labelOnly="1" fieldPosition="0">
        <references count="3">
          <reference field="8" count="1" selected="0">
            <x v="14"/>
          </reference>
          <reference field="9" count="1" selected="0">
            <x v="19"/>
          </reference>
          <reference field="16" count="1">
            <x v="163"/>
          </reference>
        </references>
      </pivotArea>
    </format>
    <format dxfId="169">
      <pivotArea dataOnly="0" labelOnly="1" outline="0" fieldPosition="0">
        <references count="4">
          <reference field="8" count="1" selected="0">
            <x v="14"/>
          </reference>
          <reference field="9" count="1" selected="0">
            <x v="19"/>
          </reference>
          <reference field="16" count="1" selected="0">
            <x v="163"/>
          </reference>
          <reference field="19" count="1">
            <x v="11"/>
          </reference>
        </references>
      </pivotArea>
    </format>
    <format dxfId="168">
      <pivotArea dataOnly="0" labelOnly="1" fieldPosition="0">
        <references count="3">
          <reference field="8" count="1" selected="0">
            <x v="14"/>
          </reference>
          <reference field="9" count="1" selected="0">
            <x v="18"/>
          </reference>
          <reference field="16" count="2">
            <x v="119"/>
            <x v="164"/>
          </reference>
        </references>
      </pivotArea>
    </format>
    <format dxfId="167">
      <pivotArea dataOnly="0" labelOnly="1" outline="0" fieldPosition="0">
        <references count="4">
          <reference field="8" count="1" selected="0">
            <x v="14"/>
          </reference>
          <reference field="9" count="1" selected="0">
            <x v="18"/>
          </reference>
          <reference field="16" count="1" selected="0">
            <x v="119"/>
          </reference>
          <reference field="19" count="1">
            <x v="15"/>
          </reference>
        </references>
      </pivotArea>
    </format>
    <format dxfId="166">
      <pivotArea dataOnly="0" labelOnly="1" outline="0" fieldPosition="0">
        <references count="4">
          <reference field="8" count="1" selected="0">
            <x v="14"/>
          </reference>
          <reference field="9" count="1" selected="0">
            <x v="18"/>
          </reference>
          <reference field="16" count="1" selected="0">
            <x v="164"/>
          </reference>
          <reference field="19" count="1">
            <x v="11"/>
          </reference>
        </references>
      </pivotArea>
    </format>
    <format dxfId="165">
      <pivotArea dataOnly="0" labelOnly="1" fieldPosition="0">
        <references count="3">
          <reference field="8" count="1" selected="0">
            <x v="14"/>
          </reference>
          <reference field="9" count="1" selected="0">
            <x v="16"/>
          </reference>
          <reference field="16" count="1">
            <x v="165"/>
          </reference>
        </references>
      </pivotArea>
    </format>
    <format dxfId="164">
      <pivotArea dataOnly="0" labelOnly="1" outline="0" fieldPosition="0">
        <references count="4">
          <reference field="8" count="1" selected="0">
            <x v="14"/>
          </reference>
          <reference field="9" count="1" selected="0">
            <x v="16"/>
          </reference>
          <reference field="16" count="1" selected="0">
            <x v="165"/>
          </reference>
          <reference field="19" count="1">
            <x v="14"/>
          </reference>
        </references>
      </pivotArea>
    </format>
    <format dxfId="163">
      <pivotArea dataOnly="0" labelOnly="1" fieldPosition="0">
        <references count="3">
          <reference field="8" count="1" selected="0">
            <x v="14"/>
          </reference>
          <reference field="9" count="1" selected="0">
            <x v="14"/>
          </reference>
          <reference field="16" count="1">
            <x v="173"/>
          </reference>
        </references>
      </pivotArea>
    </format>
    <format dxfId="162">
      <pivotArea dataOnly="0" labelOnly="1" outline="0" fieldPosition="0">
        <references count="4">
          <reference field="8" count="1" selected="0">
            <x v="14"/>
          </reference>
          <reference field="9" count="1" selected="0">
            <x v="14"/>
          </reference>
          <reference field="16" count="1" selected="0">
            <x v="173"/>
          </reference>
          <reference field="19" count="1">
            <x v="15"/>
          </reference>
        </references>
      </pivotArea>
    </format>
    <format dxfId="161">
      <pivotArea dataOnly="0" labelOnly="1" fieldPosition="0">
        <references count="3">
          <reference field="8" count="1" selected="0">
            <x v="14"/>
          </reference>
          <reference field="9" count="1" selected="0">
            <x v="13"/>
          </reference>
          <reference field="16" count="2">
            <x v="101"/>
            <x v="180"/>
          </reference>
        </references>
      </pivotArea>
    </format>
    <format dxfId="160">
      <pivotArea dataOnly="0" labelOnly="1" outline="0" fieldPosition="0">
        <references count="4">
          <reference field="8" count="1" selected="0">
            <x v="14"/>
          </reference>
          <reference field="9" count="1" selected="0">
            <x v="13"/>
          </reference>
          <reference field="16" count="1" selected="0">
            <x v="101"/>
          </reference>
          <reference field="19" count="1">
            <x v="15"/>
          </reference>
        </references>
      </pivotArea>
    </format>
    <format dxfId="159">
      <pivotArea dataOnly="0" labelOnly="1" outline="0" fieldPosition="0">
        <references count="4">
          <reference field="8" count="1" selected="0">
            <x v="14"/>
          </reference>
          <reference field="9" count="1" selected="0">
            <x v="13"/>
          </reference>
          <reference field="16" count="1" selected="0">
            <x v="180"/>
          </reference>
          <reference field="19" count="1">
            <x v="15"/>
          </reference>
        </references>
      </pivotArea>
    </format>
    <format dxfId="158">
      <pivotArea dataOnly="0" labelOnly="1" fieldPosition="0">
        <references count="3">
          <reference field="8" count="1" selected="0">
            <x v="14"/>
          </reference>
          <reference field="9" count="1" selected="0">
            <x v="2"/>
          </reference>
          <reference field="16" count="3">
            <x v="92"/>
            <x v="106"/>
            <x v="186"/>
          </reference>
        </references>
      </pivotArea>
    </format>
    <format dxfId="157">
      <pivotArea dataOnly="0" labelOnly="1" outline="0" fieldPosition="0">
        <references count="4">
          <reference field="8" count="1" selected="0">
            <x v="14"/>
          </reference>
          <reference field="9" count="1" selected="0">
            <x v="2"/>
          </reference>
          <reference field="16" count="1" selected="0">
            <x v="92"/>
          </reference>
          <reference field="19" count="1">
            <x v="15"/>
          </reference>
        </references>
      </pivotArea>
    </format>
    <format dxfId="156">
      <pivotArea dataOnly="0" labelOnly="1" outline="0" fieldPosition="0">
        <references count="4">
          <reference field="8" count="1" selected="0">
            <x v="14"/>
          </reference>
          <reference field="9" count="1" selected="0">
            <x v="2"/>
          </reference>
          <reference field="16" count="1" selected="0">
            <x v="106"/>
          </reference>
          <reference field="19" count="2">
            <x v="11"/>
            <x v="15"/>
          </reference>
        </references>
      </pivotArea>
    </format>
    <format dxfId="155">
      <pivotArea dataOnly="0" labelOnly="1" outline="0" fieldPosition="0">
        <references count="4">
          <reference field="8" count="1" selected="0">
            <x v="14"/>
          </reference>
          <reference field="9" count="1" selected="0">
            <x v="2"/>
          </reference>
          <reference field="16" count="1" selected="0">
            <x v="186"/>
          </reference>
          <reference field="19" count="1">
            <x v="15"/>
          </reference>
        </references>
      </pivotArea>
    </format>
    <format dxfId="154">
      <pivotArea dataOnly="0" labelOnly="1" fieldPosition="0">
        <references count="3">
          <reference field="8" count="1" selected="0">
            <x v="14"/>
          </reference>
          <reference field="9" count="1" selected="0">
            <x v="0"/>
          </reference>
          <reference field="16" count="5">
            <x v="109"/>
            <x v="110"/>
            <x v="115"/>
            <x v="140"/>
            <x v="158"/>
          </reference>
        </references>
      </pivotArea>
    </format>
    <format dxfId="153">
      <pivotArea dataOnly="0" labelOnly="1" outline="0" fieldPosition="0">
        <references count="4">
          <reference field="8" count="1" selected="0">
            <x v="14"/>
          </reference>
          <reference field="9" count="1" selected="0">
            <x v="0"/>
          </reference>
          <reference field="16" count="1" selected="0">
            <x v="109"/>
          </reference>
          <reference field="19" count="1">
            <x v="15"/>
          </reference>
        </references>
      </pivotArea>
    </format>
    <format dxfId="152">
      <pivotArea dataOnly="0" labelOnly="1" outline="0" fieldPosition="0">
        <references count="4">
          <reference field="8" count="1" selected="0">
            <x v="14"/>
          </reference>
          <reference field="9" count="1" selected="0">
            <x v="0"/>
          </reference>
          <reference field="16" count="1" selected="0">
            <x v="110"/>
          </reference>
          <reference field="19" count="1">
            <x v="11"/>
          </reference>
        </references>
      </pivotArea>
    </format>
    <format dxfId="151">
      <pivotArea dataOnly="0" labelOnly="1" outline="0" fieldPosition="0">
        <references count="4">
          <reference field="8" count="1" selected="0">
            <x v="14"/>
          </reference>
          <reference field="9" count="1" selected="0">
            <x v="0"/>
          </reference>
          <reference field="16" count="1" selected="0">
            <x v="115"/>
          </reference>
          <reference field="19" count="1">
            <x v="15"/>
          </reference>
        </references>
      </pivotArea>
    </format>
    <format dxfId="150">
      <pivotArea dataOnly="0" labelOnly="1" outline="0" fieldPosition="0">
        <references count="4">
          <reference field="8" count="1" selected="0">
            <x v="14"/>
          </reference>
          <reference field="9" count="1" selected="0">
            <x v="0"/>
          </reference>
          <reference field="16" count="1" selected="0">
            <x v="140"/>
          </reference>
          <reference field="19" count="1">
            <x v="15"/>
          </reference>
        </references>
      </pivotArea>
    </format>
    <format dxfId="149">
      <pivotArea dataOnly="0" labelOnly="1" outline="0" fieldPosition="0">
        <references count="4">
          <reference field="8" count="1" selected="0">
            <x v="14"/>
          </reference>
          <reference field="9" count="1" selected="0">
            <x v="0"/>
          </reference>
          <reference field="16" count="1" selected="0">
            <x v="158"/>
          </reference>
          <reference field="19" count="1">
            <x v="15"/>
          </reference>
        </references>
      </pivotArea>
    </format>
    <format dxfId="148">
      <pivotArea dataOnly="0" labelOnly="1" fieldPosition="0">
        <references count="3">
          <reference field="8" count="1" selected="0">
            <x v="15"/>
          </reference>
          <reference field="9" count="1" selected="0">
            <x v="16"/>
          </reference>
          <reference field="16" count="4">
            <x v="97"/>
            <x v="147"/>
            <x v="160"/>
            <x v="177"/>
          </reference>
        </references>
      </pivotArea>
    </format>
    <format dxfId="147">
      <pivotArea dataOnly="0" labelOnly="1" outline="0" fieldPosition="0">
        <references count="4">
          <reference field="8" count="1" selected="0">
            <x v="15"/>
          </reference>
          <reference field="9" count="1" selected="0">
            <x v="16"/>
          </reference>
          <reference field="16" count="1" selected="0">
            <x v="97"/>
          </reference>
          <reference field="19" count="1">
            <x v="15"/>
          </reference>
        </references>
      </pivotArea>
    </format>
    <format dxfId="146">
      <pivotArea dataOnly="0" labelOnly="1" outline="0" fieldPosition="0">
        <references count="4">
          <reference field="8" count="1" selected="0">
            <x v="15"/>
          </reference>
          <reference field="9" count="1" selected="0">
            <x v="16"/>
          </reference>
          <reference field="16" count="1" selected="0">
            <x v="147"/>
          </reference>
          <reference field="19" count="1">
            <x v="15"/>
          </reference>
        </references>
      </pivotArea>
    </format>
    <format dxfId="145">
      <pivotArea dataOnly="0" labelOnly="1" outline="0" fieldPosition="0">
        <references count="4">
          <reference field="8" count="1" selected="0">
            <x v="15"/>
          </reference>
          <reference field="9" count="1" selected="0">
            <x v="16"/>
          </reference>
          <reference field="16" count="1" selected="0">
            <x v="160"/>
          </reference>
          <reference field="19" count="1">
            <x v="15"/>
          </reference>
        </references>
      </pivotArea>
    </format>
    <format dxfId="144">
      <pivotArea dataOnly="0" labelOnly="1" outline="0" fieldPosition="0">
        <references count="4">
          <reference field="8" count="1" selected="0">
            <x v="15"/>
          </reference>
          <reference field="9" count="1" selected="0">
            <x v="16"/>
          </reference>
          <reference field="16" count="1" selected="0">
            <x v="177"/>
          </reference>
          <reference field="19" count="1">
            <x v="15"/>
          </reference>
        </references>
      </pivotArea>
    </format>
    <format dxfId="143">
      <pivotArea dataOnly="0" labelOnly="1" fieldPosition="0">
        <references count="3">
          <reference field="8" count="1" selected="0">
            <x v="15"/>
          </reference>
          <reference field="9" count="1" selected="0">
            <x v="18"/>
          </reference>
          <reference field="16" count="1">
            <x v="189"/>
          </reference>
        </references>
      </pivotArea>
    </format>
    <format dxfId="142">
      <pivotArea dataOnly="0" labelOnly="1" outline="0" fieldPosition="0">
        <references count="4">
          <reference field="8" count="1" selected="0">
            <x v="15"/>
          </reference>
          <reference field="9" count="1" selected="0">
            <x v="18"/>
          </reference>
          <reference field="16" count="1" selected="0">
            <x v="189"/>
          </reference>
          <reference field="19" count="1">
            <x v="15"/>
          </reference>
        </references>
      </pivotArea>
    </format>
    <format dxfId="141">
      <pivotArea dataOnly="0" labelOnly="1" fieldPosition="0">
        <references count="3">
          <reference field="8" count="1" selected="0">
            <x v="15"/>
          </reference>
          <reference field="9" count="1" selected="0">
            <x v="14"/>
          </reference>
          <reference field="16" count="2">
            <x v="95"/>
            <x v="127"/>
          </reference>
        </references>
      </pivotArea>
    </format>
    <format dxfId="140">
      <pivotArea dataOnly="0" labelOnly="1" outline="0" fieldPosition="0">
        <references count="4">
          <reference field="8" count="1" selected="0">
            <x v="15"/>
          </reference>
          <reference field="9" count="1" selected="0">
            <x v="14"/>
          </reference>
          <reference field="16" count="1" selected="0">
            <x v="95"/>
          </reference>
          <reference field="19" count="1">
            <x v="15"/>
          </reference>
        </references>
      </pivotArea>
    </format>
    <format dxfId="139">
      <pivotArea dataOnly="0" labelOnly="1" outline="0" fieldPosition="0">
        <references count="4">
          <reference field="8" count="1" selected="0">
            <x v="15"/>
          </reference>
          <reference field="9" count="1" selected="0">
            <x v="14"/>
          </reference>
          <reference field="16" count="1" selected="0">
            <x v="127"/>
          </reference>
          <reference field="19" count="1">
            <x v="15"/>
          </reference>
        </references>
      </pivotArea>
    </format>
    <format dxfId="138">
      <pivotArea dataOnly="0" labelOnly="1" fieldPosition="0">
        <references count="3">
          <reference field="8" count="1" selected="0">
            <x v="15"/>
          </reference>
          <reference field="9" count="1" selected="0">
            <x v="13"/>
          </reference>
          <reference field="16" count="1">
            <x v="111"/>
          </reference>
        </references>
      </pivotArea>
    </format>
    <format dxfId="137">
      <pivotArea dataOnly="0" labelOnly="1" outline="0" fieldPosition="0">
        <references count="4">
          <reference field="8" count="1" selected="0">
            <x v="15"/>
          </reference>
          <reference field="9" count="1" selected="0">
            <x v="13"/>
          </reference>
          <reference field="16" count="1" selected="0">
            <x v="111"/>
          </reference>
          <reference field="19" count="2">
            <x v="11"/>
            <x v="15"/>
          </reference>
        </references>
      </pivotArea>
    </format>
    <format dxfId="136">
      <pivotArea dataOnly="0" labelOnly="1" fieldPosition="0">
        <references count="3">
          <reference field="8" count="1" selected="0">
            <x v="15"/>
          </reference>
          <reference field="9" count="1" selected="0">
            <x v="3"/>
          </reference>
          <reference field="16" count="4">
            <x v="145"/>
            <x v="155"/>
            <x v="159"/>
            <x v="167"/>
          </reference>
        </references>
      </pivotArea>
    </format>
    <format dxfId="135">
      <pivotArea dataOnly="0" labelOnly="1" outline="0" fieldPosition="0">
        <references count="4">
          <reference field="8" count="1" selected="0">
            <x v="15"/>
          </reference>
          <reference field="9" count="1" selected="0">
            <x v="3"/>
          </reference>
          <reference field="16" count="1" selected="0">
            <x v="145"/>
          </reference>
          <reference field="19" count="1">
            <x v="15"/>
          </reference>
        </references>
      </pivotArea>
    </format>
    <format dxfId="134">
      <pivotArea dataOnly="0" labelOnly="1" outline="0" fieldPosition="0">
        <references count="4">
          <reference field="8" count="1" selected="0">
            <x v="15"/>
          </reference>
          <reference field="9" count="1" selected="0">
            <x v="3"/>
          </reference>
          <reference field="16" count="1" selected="0">
            <x v="155"/>
          </reference>
          <reference field="19" count="1">
            <x v="15"/>
          </reference>
        </references>
      </pivotArea>
    </format>
    <format dxfId="133">
      <pivotArea dataOnly="0" labelOnly="1" outline="0" fieldPosition="0">
        <references count="4">
          <reference field="8" count="1" selected="0">
            <x v="15"/>
          </reference>
          <reference field="9" count="1" selected="0">
            <x v="3"/>
          </reference>
          <reference field="16" count="1" selected="0">
            <x v="159"/>
          </reference>
          <reference field="19" count="1">
            <x v="12"/>
          </reference>
        </references>
      </pivotArea>
    </format>
    <format dxfId="132">
      <pivotArea dataOnly="0" labelOnly="1" outline="0" fieldPosition="0">
        <references count="4">
          <reference field="8" count="1" selected="0">
            <x v="15"/>
          </reference>
          <reference field="9" count="1" selected="0">
            <x v="3"/>
          </reference>
          <reference field="16" count="1" selected="0">
            <x v="167"/>
          </reference>
          <reference field="19" count="1">
            <x v="15"/>
          </reference>
        </references>
      </pivotArea>
    </format>
    <format dxfId="131">
      <pivotArea dataOnly="0" labelOnly="1" fieldPosition="0">
        <references count="3">
          <reference field="8" count="1" selected="0">
            <x v="15"/>
          </reference>
          <reference field="9" count="1" selected="0">
            <x v="2"/>
          </reference>
          <reference field="16" count="6">
            <x v="99"/>
            <x v="100"/>
            <x v="102"/>
            <x v="121"/>
            <x v="138"/>
            <x v="152"/>
          </reference>
        </references>
      </pivotArea>
    </format>
    <format dxfId="130">
      <pivotArea dataOnly="0" labelOnly="1" outline="0" fieldPosition="0">
        <references count="4">
          <reference field="8" count="1" selected="0">
            <x v="15"/>
          </reference>
          <reference field="9" count="1" selected="0">
            <x v="2"/>
          </reference>
          <reference field="16" count="1" selected="0">
            <x v="99"/>
          </reference>
          <reference field="19" count="1">
            <x v="11"/>
          </reference>
        </references>
      </pivotArea>
    </format>
    <format dxfId="129">
      <pivotArea dataOnly="0" labelOnly="1" outline="0" fieldPosition="0">
        <references count="4">
          <reference field="8" count="1" selected="0">
            <x v="15"/>
          </reference>
          <reference field="9" count="1" selected="0">
            <x v="2"/>
          </reference>
          <reference field="16" count="1" selected="0">
            <x v="100"/>
          </reference>
          <reference field="19" count="1">
            <x v="15"/>
          </reference>
        </references>
      </pivotArea>
    </format>
    <format dxfId="128">
      <pivotArea dataOnly="0" labelOnly="1" outline="0" fieldPosition="0">
        <references count="4">
          <reference field="8" count="1" selected="0">
            <x v="15"/>
          </reference>
          <reference field="9" count="1" selected="0">
            <x v="2"/>
          </reference>
          <reference field="16" count="1" selected="0">
            <x v="102"/>
          </reference>
          <reference field="19" count="2">
            <x v="8"/>
            <x v="15"/>
          </reference>
        </references>
      </pivotArea>
    </format>
    <format dxfId="127">
      <pivotArea dataOnly="0" labelOnly="1" outline="0" fieldPosition="0">
        <references count="4">
          <reference field="8" count="1" selected="0">
            <x v="15"/>
          </reference>
          <reference field="9" count="1" selected="0">
            <x v="2"/>
          </reference>
          <reference field="16" count="1" selected="0">
            <x v="121"/>
          </reference>
          <reference field="19" count="1">
            <x v="11"/>
          </reference>
        </references>
      </pivotArea>
    </format>
    <format dxfId="126">
      <pivotArea dataOnly="0" labelOnly="1" outline="0" fieldPosition="0">
        <references count="4">
          <reference field="8" count="1" selected="0">
            <x v="15"/>
          </reference>
          <reference field="9" count="1" selected="0">
            <x v="2"/>
          </reference>
          <reference field="16" count="1" selected="0">
            <x v="138"/>
          </reference>
          <reference field="19" count="1">
            <x v="15"/>
          </reference>
        </references>
      </pivotArea>
    </format>
    <format dxfId="125">
      <pivotArea dataOnly="0" labelOnly="1" outline="0" fieldPosition="0">
        <references count="4">
          <reference field="8" count="1" selected="0">
            <x v="15"/>
          </reference>
          <reference field="9" count="1" selected="0">
            <x v="2"/>
          </reference>
          <reference field="16" count="1" selected="0">
            <x v="152"/>
          </reference>
          <reference field="19" count="1">
            <x v="15"/>
          </reference>
        </references>
      </pivotArea>
    </format>
    <format dxfId="124">
      <pivotArea dataOnly="0" labelOnly="1" fieldPosition="0">
        <references count="3">
          <reference field="8" count="1" selected="0">
            <x v="4"/>
          </reference>
          <reference field="9" count="1" selected="0">
            <x v="1"/>
          </reference>
          <reference field="16" count="4">
            <x v="123"/>
            <x v="141"/>
            <x v="170"/>
            <x v="185"/>
          </reference>
        </references>
      </pivotArea>
    </format>
    <format dxfId="123">
      <pivotArea dataOnly="0" labelOnly="1" outline="0" fieldPosition="0">
        <references count="4">
          <reference field="8" count="1" selected="0">
            <x v="4"/>
          </reference>
          <reference field="9" count="1" selected="0">
            <x v="1"/>
          </reference>
          <reference field="16" count="1" selected="0">
            <x v="123"/>
          </reference>
          <reference field="19" count="1">
            <x v="20"/>
          </reference>
        </references>
      </pivotArea>
    </format>
    <format dxfId="122">
      <pivotArea dataOnly="0" labelOnly="1" outline="0" fieldPosition="0">
        <references count="4">
          <reference field="8" count="1" selected="0">
            <x v="4"/>
          </reference>
          <reference field="9" count="1" selected="0">
            <x v="1"/>
          </reference>
          <reference field="16" count="1" selected="0">
            <x v="141"/>
          </reference>
          <reference field="19" count="1">
            <x v="15"/>
          </reference>
        </references>
      </pivotArea>
    </format>
    <format dxfId="121">
      <pivotArea dataOnly="0" labelOnly="1" outline="0" fieldPosition="0">
        <references count="4">
          <reference field="8" count="1" selected="0">
            <x v="4"/>
          </reference>
          <reference field="9" count="1" selected="0">
            <x v="1"/>
          </reference>
          <reference field="16" count="1" selected="0">
            <x v="170"/>
          </reference>
          <reference field="19" count="1">
            <x v="11"/>
          </reference>
        </references>
      </pivotArea>
    </format>
    <format dxfId="120">
      <pivotArea dataOnly="0" labelOnly="1" outline="0" fieldPosition="0">
        <references count="4">
          <reference field="8" count="1" selected="0">
            <x v="4"/>
          </reference>
          <reference field="9" count="1" selected="0">
            <x v="1"/>
          </reference>
          <reference field="16" count="1" selected="0">
            <x v="185"/>
          </reference>
          <reference field="19" count="1">
            <x v="20"/>
          </reference>
        </references>
      </pivotArea>
    </format>
    <format dxfId="119">
      <pivotArea dataOnly="0" labelOnly="1" fieldPosition="0">
        <references count="3">
          <reference field="8" count="1" selected="0">
            <x v="13"/>
          </reference>
          <reference field="9" count="1" selected="0">
            <x v="13"/>
          </reference>
          <reference field="16" count="3">
            <x v="112"/>
            <x v="157"/>
            <x v="175"/>
          </reference>
        </references>
      </pivotArea>
    </format>
    <format dxfId="118">
      <pivotArea dataOnly="0" labelOnly="1" outline="0" fieldPosition="0">
        <references count="4">
          <reference field="8" count="1" selected="0">
            <x v="13"/>
          </reference>
          <reference field="9" count="1" selected="0">
            <x v="13"/>
          </reference>
          <reference field="16" count="1" selected="0">
            <x v="112"/>
          </reference>
          <reference field="19" count="1">
            <x v="15"/>
          </reference>
        </references>
      </pivotArea>
    </format>
    <format dxfId="117">
      <pivotArea dataOnly="0" labelOnly="1" outline="0" fieldPosition="0">
        <references count="4">
          <reference field="8" count="1" selected="0">
            <x v="13"/>
          </reference>
          <reference field="9" count="1" selected="0">
            <x v="13"/>
          </reference>
          <reference field="16" count="1" selected="0">
            <x v="157"/>
          </reference>
          <reference field="19" count="1">
            <x v="15"/>
          </reference>
        </references>
      </pivotArea>
    </format>
    <format dxfId="116">
      <pivotArea dataOnly="0" labelOnly="1" outline="0" fieldPosition="0">
        <references count="4">
          <reference field="8" count="1" selected="0">
            <x v="13"/>
          </reference>
          <reference field="9" count="1" selected="0">
            <x v="13"/>
          </reference>
          <reference field="16" count="1" selected="0">
            <x v="175"/>
          </reference>
          <reference field="19" count="1">
            <x v="12"/>
          </reference>
        </references>
      </pivotArea>
    </format>
    <format dxfId="115">
      <pivotArea dataOnly="0" labelOnly="1" fieldPosition="0">
        <references count="3">
          <reference field="8" count="1" selected="0">
            <x v="13"/>
          </reference>
          <reference field="9" count="1" selected="0">
            <x v="3"/>
          </reference>
          <reference field="16" count="5">
            <x v="91"/>
            <x v="93"/>
            <x v="105"/>
            <x v="166"/>
            <x v="176"/>
          </reference>
        </references>
      </pivotArea>
    </format>
    <format dxfId="114">
      <pivotArea dataOnly="0" labelOnly="1" outline="0" fieldPosition="0">
        <references count="4">
          <reference field="8" count="1" selected="0">
            <x v="13"/>
          </reference>
          <reference field="9" count="1" selected="0">
            <x v="3"/>
          </reference>
          <reference field="16" count="1" selected="0">
            <x v="91"/>
          </reference>
          <reference field="19" count="2">
            <x v="11"/>
            <x v="15"/>
          </reference>
        </references>
      </pivotArea>
    </format>
    <format dxfId="113">
      <pivotArea dataOnly="0" labelOnly="1" outline="0" fieldPosition="0">
        <references count="4">
          <reference field="8" count="1" selected="0">
            <x v="13"/>
          </reference>
          <reference field="9" count="1" selected="0">
            <x v="3"/>
          </reference>
          <reference field="16" count="1" selected="0">
            <x v="93"/>
          </reference>
          <reference field="19" count="1">
            <x v="15"/>
          </reference>
        </references>
      </pivotArea>
    </format>
    <format dxfId="112">
      <pivotArea dataOnly="0" labelOnly="1" outline="0" fieldPosition="0">
        <references count="4">
          <reference field="8" count="1" selected="0">
            <x v="13"/>
          </reference>
          <reference field="9" count="1" selected="0">
            <x v="3"/>
          </reference>
          <reference field="16" count="1" selected="0">
            <x v="105"/>
          </reference>
          <reference field="19" count="1">
            <x v="15"/>
          </reference>
        </references>
      </pivotArea>
    </format>
    <format dxfId="111">
      <pivotArea dataOnly="0" labelOnly="1" outline="0" fieldPosition="0">
        <references count="4">
          <reference field="8" count="1" selected="0">
            <x v="13"/>
          </reference>
          <reference field="9" count="1" selected="0">
            <x v="3"/>
          </reference>
          <reference field="16" count="1" selected="0">
            <x v="166"/>
          </reference>
          <reference field="19" count="1">
            <x v="11"/>
          </reference>
        </references>
      </pivotArea>
    </format>
    <format dxfId="110">
      <pivotArea dataOnly="0" labelOnly="1" outline="0" fieldPosition="0">
        <references count="4">
          <reference field="8" count="1" selected="0">
            <x v="13"/>
          </reference>
          <reference field="9" count="1" selected="0">
            <x v="3"/>
          </reference>
          <reference field="16" count="1" selected="0">
            <x v="176"/>
          </reference>
          <reference field="19" count="1">
            <x v="17"/>
          </reference>
        </references>
      </pivotArea>
    </format>
    <format dxfId="109">
      <pivotArea dataOnly="0" labelOnly="1" fieldPosition="0">
        <references count="3">
          <reference field="8" count="1" selected="0">
            <x v="13"/>
          </reference>
          <reference field="9" count="1" selected="0">
            <x v="2"/>
          </reference>
          <reference field="16" count="4">
            <x v="114"/>
            <x v="118"/>
            <x v="128"/>
            <x v="168"/>
          </reference>
        </references>
      </pivotArea>
    </format>
    <format dxfId="108">
      <pivotArea dataOnly="0" labelOnly="1" outline="0" fieldPosition="0">
        <references count="4">
          <reference field="8" count="1" selected="0">
            <x v="13"/>
          </reference>
          <reference field="9" count="1" selected="0">
            <x v="2"/>
          </reference>
          <reference field="16" count="1" selected="0">
            <x v="114"/>
          </reference>
          <reference field="19" count="2">
            <x v="7"/>
            <x v="15"/>
          </reference>
        </references>
      </pivotArea>
    </format>
    <format dxfId="107">
      <pivotArea dataOnly="0" labelOnly="1" outline="0" fieldPosition="0">
        <references count="4">
          <reference field="8" count="1" selected="0">
            <x v="13"/>
          </reference>
          <reference field="9" count="1" selected="0">
            <x v="2"/>
          </reference>
          <reference field="16" count="1" selected="0">
            <x v="118"/>
          </reference>
          <reference field="19" count="1">
            <x v="11"/>
          </reference>
        </references>
      </pivotArea>
    </format>
    <format dxfId="106">
      <pivotArea dataOnly="0" labelOnly="1" outline="0" fieldPosition="0">
        <references count="4">
          <reference field="8" count="1" selected="0">
            <x v="13"/>
          </reference>
          <reference field="9" count="1" selected="0">
            <x v="2"/>
          </reference>
          <reference field="16" count="1" selected="0">
            <x v="128"/>
          </reference>
          <reference field="19" count="2">
            <x v="3"/>
            <x v="15"/>
          </reference>
        </references>
      </pivotArea>
    </format>
    <format dxfId="105">
      <pivotArea dataOnly="0" labelOnly="1" outline="0" fieldPosition="0">
        <references count="4">
          <reference field="8" count="1" selected="0">
            <x v="13"/>
          </reference>
          <reference field="9" count="1" selected="0">
            <x v="2"/>
          </reference>
          <reference field="16" count="1" selected="0">
            <x v="168"/>
          </reference>
          <reference field="19" count="1">
            <x v="15"/>
          </reference>
        </references>
      </pivotArea>
    </format>
    <format dxfId="104">
      <pivotArea dataOnly="0" labelOnly="1" fieldPosition="0">
        <references count="3">
          <reference field="8" count="1" selected="0">
            <x v="13"/>
          </reference>
          <reference field="9" count="1" selected="0">
            <x v="0"/>
          </reference>
          <reference field="16" count="4">
            <x v="94"/>
            <x v="117"/>
            <x v="148"/>
            <x v="193"/>
          </reference>
        </references>
      </pivotArea>
    </format>
    <format dxfId="103">
      <pivotArea dataOnly="0" labelOnly="1" outline="0" fieldPosition="0">
        <references count="4">
          <reference field="8" count="1" selected="0">
            <x v="13"/>
          </reference>
          <reference field="9" count="1" selected="0">
            <x v="0"/>
          </reference>
          <reference field="16" count="1" selected="0">
            <x v="94"/>
          </reference>
          <reference field="19" count="1">
            <x v="15"/>
          </reference>
        </references>
      </pivotArea>
    </format>
    <format dxfId="102">
      <pivotArea dataOnly="0" labelOnly="1" outline="0" fieldPosition="0">
        <references count="4">
          <reference field="8" count="1" selected="0">
            <x v="13"/>
          </reference>
          <reference field="9" count="1" selected="0">
            <x v="0"/>
          </reference>
          <reference field="16" count="1" selected="0">
            <x v="117"/>
          </reference>
          <reference field="19" count="1">
            <x v="20"/>
          </reference>
        </references>
      </pivotArea>
    </format>
    <format dxfId="101">
      <pivotArea dataOnly="0" labelOnly="1" outline="0" fieldPosition="0">
        <references count="4">
          <reference field="8" count="1" selected="0">
            <x v="13"/>
          </reference>
          <reference field="9" count="1" selected="0">
            <x v="0"/>
          </reference>
          <reference field="16" count="1" selected="0">
            <x v="148"/>
          </reference>
          <reference field="19" count="1">
            <x v="15"/>
          </reference>
        </references>
      </pivotArea>
    </format>
    <format dxfId="100">
      <pivotArea dataOnly="0" labelOnly="1" outline="0" fieldPosition="0">
        <references count="4">
          <reference field="8" count="1" selected="0">
            <x v="13"/>
          </reference>
          <reference field="9" count="1" selected="0">
            <x v="0"/>
          </reference>
          <reference field="16" count="1" selected="0">
            <x v="193"/>
          </reference>
          <reference field="19" count="1">
            <x v="15"/>
          </reference>
        </references>
      </pivotArea>
    </format>
    <format dxfId="99">
      <pivotArea dataOnly="0" labelOnly="1" fieldPosition="0">
        <references count="3">
          <reference field="8" count="1" selected="0">
            <x v="5"/>
          </reference>
          <reference field="9" count="1" selected="0">
            <x v="20"/>
          </reference>
          <reference field="16" count="3">
            <x v="0"/>
            <x v="126"/>
            <x v="179"/>
          </reference>
        </references>
      </pivotArea>
    </format>
    <format dxfId="98">
      <pivotArea dataOnly="0" labelOnly="1" outline="0" fieldPosition="0">
        <references count="4">
          <reference field="8" count="1" selected="0">
            <x v="5"/>
          </reference>
          <reference field="9" count="1" selected="0">
            <x v="20"/>
          </reference>
          <reference field="16" count="1" selected="0">
            <x v="0"/>
          </reference>
          <reference field="19" count="1">
            <x v="15"/>
          </reference>
        </references>
      </pivotArea>
    </format>
    <format dxfId="97">
      <pivotArea dataOnly="0" labelOnly="1" outline="0" fieldPosition="0">
        <references count="4">
          <reference field="8" count="1" selected="0">
            <x v="5"/>
          </reference>
          <reference field="9" count="1" selected="0">
            <x v="20"/>
          </reference>
          <reference field="16" count="1" selected="0">
            <x v="126"/>
          </reference>
          <reference field="19" count="1">
            <x v="3"/>
          </reference>
        </references>
      </pivotArea>
    </format>
    <format dxfId="96">
      <pivotArea dataOnly="0" labelOnly="1" outline="0" fieldPosition="0">
        <references count="4">
          <reference field="8" count="1" selected="0">
            <x v="5"/>
          </reference>
          <reference field="9" count="1" selected="0">
            <x v="20"/>
          </reference>
          <reference field="16" count="1" selected="0">
            <x v="179"/>
          </reference>
          <reference field="19" count="1">
            <x v="15"/>
          </reference>
        </references>
      </pivotArea>
    </format>
    <format dxfId="95">
      <pivotArea dataOnly="0" labelOnly="1" fieldPosition="0">
        <references count="3">
          <reference field="8" count="1" selected="0">
            <x v="5"/>
          </reference>
          <reference field="9" count="1" selected="0">
            <x v="19"/>
          </reference>
          <reference field="16" count="2">
            <x v="122"/>
            <x v="162"/>
          </reference>
        </references>
      </pivotArea>
    </format>
    <format dxfId="94">
      <pivotArea dataOnly="0" labelOnly="1" outline="0" fieldPosition="0">
        <references count="4">
          <reference field="8" count="1" selected="0">
            <x v="5"/>
          </reference>
          <reference field="9" count="1" selected="0">
            <x v="19"/>
          </reference>
          <reference field="16" count="1" selected="0">
            <x v="122"/>
          </reference>
          <reference field="19" count="2">
            <x v="11"/>
            <x v="15"/>
          </reference>
        </references>
      </pivotArea>
    </format>
    <format dxfId="93">
      <pivotArea dataOnly="0" labelOnly="1" outline="0" fieldPosition="0">
        <references count="4">
          <reference field="8" count="1" selected="0">
            <x v="5"/>
          </reference>
          <reference field="9" count="1" selected="0">
            <x v="19"/>
          </reference>
          <reference field="16" count="1" selected="0">
            <x v="162"/>
          </reference>
          <reference field="19" count="1">
            <x v="15"/>
          </reference>
        </references>
      </pivotArea>
    </format>
    <format dxfId="92">
      <pivotArea dataOnly="0" labelOnly="1" fieldPosition="0">
        <references count="3">
          <reference field="8" count="1" selected="0">
            <x v="5"/>
          </reference>
          <reference field="9" count="1" selected="0">
            <x v="16"/>
          </reference>
          <reference field="16" count="2">
            <x v="107"/>
            <x v="149"/>
          </reference>
        </references>
      </pivotArea>
    </format>
    <format dxfId="91">
      <pivotArea dataOnly="0" labelOnly="1" outline="0" fieldPosition="0">
        <references count="4">
          <reference field="8" count="1" selected="0">
            <x v="5"/>
          </reference>
          <reference field="9" count="1" selected="0">
            <x v="16"/>
          </reference>
          <reference field="16" count="1" selected="0">
            <x v="107"/>
          </reference>
          <reference field="19" count="1">
            <x v="11"/>
          </reference>
        </references>
      </pivotArea>
    </format>
    <format dxfId="90">
      <pivotArea dataOnly="0" labelOnly="1" outline="0" fieldPosition="0">
        <references count="4">
          <reference field="8" count="1" selected="0">
            <x v="5"/>
          </reference>
          <reference field="9" count="1" selected="0">
            <x v="16"/>
          </reference>
          <reference field="16" count="1" selected="0">
            <x v="149"/>
          </reference>
          <reference field="19" count="1">
            <x v="15"/>
          </reference>
        </references>
      </pivotArea>
    </format>
    <format dxfId="89">
      <pivotArea dataOnly="0" labelOnly="1" fieldPosition="0">
        <references count="3">
          <reference field="8" count="1" selected="0">
            <x v="5"/>
          </reference>
          <reference field="9" count="1" selected="0">
            <x v="13"/>
          </reference>
          <reference field="16" count="2">
            <x v="161"/>
            <x v="169"/>
          </reference>
        </references>
      </pivotArea>
    </format>
    <format dxfId="88">
      <pivotArea dataOnly="0" labelOnly="1" outline="0" fieldPosition="0">
        <references count="4">
          <reference field="8" count="1" selected="0">
            <x v="5"/>
          </reference>
          <reference field="9" count="1" selected="0">
            <x v="13"/>
          </reference>
          <reference field="16" count="1" selected="0">
            <x v="161"/>
          </reference>
          <reference field="19" count="1">
            <x v="14"/>
          </reference>
        </references>
      </pivotArea>
    </format>
    <format dxfId="87">
      <pivotArea dataOnly="0" labelOnly="1" outline="0" fieldPosition="0">
        <references count="4">
          <reference field="8" count="1" selected="0">
            <x v="5"/>
          </reference>
          <reference field="9" count="1" selected="0">
            <x v="13"/>
          </reference>
          <reference field="16" count="1" selected="0">
            <x v="169"/>
          </reference>
          <reference field="19" count="1">
            <x v="11"/>
          </reference>
        </references>
      </pivotArea>
    </format>
    <format dxfId="86">
      <pivotArea dataOnly="0" labelOnly="1" fieldPosition="0">
        <references count="3">
          <reference field="8" count="1" selected="0">
            <x v="5"/>
          </reference>
          <reference field="9" count="1" selected="0">
            <x v="2"/>
          </reference>
          <reference field="16" count="2">
            <x v="154"/>
            <x v="182"/>
          </reference>
        </references>
      </pivotArea>
    </format>
    <format dxfId="85">
      <pivotArea dataOnly="0" labelOnly="1" outline="0" fieldPosition="0">
        <references count="4">
          <reference field="8" count="1" selected="0">
            <x v="5"/>
          </reference>
          <reference field="9" count="1" selected="0">
            <x v="2"/>
          </reference>
          <reference field="16" count="1" selected="0">
            <x v="154"/>
          </reference>
          <reference field="19" count="1">
            <x v="15"/>
          </reference>
        </references>
      </pivotArea>
    </format>
    <format dxfId="84">
      <pivotArea dataOnly="0" labelOnly="1" outline="0" fieldPosition="0">
        <references count="4">
          <reference field="8" count="1" selected="0">
            <x v="5"/>
          </reference>
          <reference field="9" count="1" selected="0">
            <x v="2"/>
          </reference>
          <reference field="16" count="1" selected="0">
            <x v="182"/>
          </reference>
          <reference field="19" count="1">
            <x v="11"/>
          </reference>
        </references>
      </pivotArea>
    </format>
    <format dxfId="83">
      <pivotArea outline="0" collapsedLevelsAreSubtotals="1" fieldPosition="0">
        <references count="2">
          <reference field="8" count="1" selected="0">
            <x v="11"/>
          </reference>
          <reference field="9" count="1" selected="0" defaultSubtotal="1">
            <x v="14"/>
          </reference>
        </references>
      </pivotArea>
    </format>
    <format dxfId="82">
      <pivotArea dataOnly="0" labelOnly="1" fieldPosition="0">
        <references count="2">
          <reference field="8" count="1" selected="0">
            <x v="11"/>
          </reference>
          <reference field="9" count="1" defaultSubtotal="1">
            <x v="14"/>
          </reference>
        </references>
      </pivotArea>
    </format>
    <format dxfId="81">
      <pivotArea outline="0" collapsedLevelsAreSubtotals="1" fieldPosition="0">
        <references count="2">
          <reference field="8" count="1" selected="0">
            <x v="11"/>
          </reference>
          <reference field="9" count="1" selected="0" defaultSubtotal="1">
            <x v="0"/>
          </reference>
        </references>
      </pivotArea>
    </format>
    <format dxfId="80">
      <pivotArea dataOnly="0" labelOnly="1" fieldPosition="0">
        <references count="2">
          <reference field="8" count="1" selected="0">
            <x v="11"/>
          </reference>
          <reference field="9" count="1" defaultSubtotal="1">
            <x v="0"/>
          </reference>
        </references>
      </pivotArea>
    </format>
    <format dxfId="79">
      <pivotArea outline="0" collapsedLevelsAreSubtotals="1" fieldPosition="0">
        <references count="1">
          <reference field="8" count="1" selected="0" defaultSubtotal="1">
            <x v="8"/>
          </reference>
        </references>
      </pivotArea>
    </format>
    <format dxfId="78">
      <pivotArea dataOnly="0" labelOnly="1" fieldPosition="0">
        <references count="1">
          <reference field="8" count="1" defaultSubtotal="1">
            <x v="8"/>
          </reference>
        </references>
      </pivotArea>
    </format>
    <format dxfId="77">
      <pivotArea outline="0" collapsedLevelsAreSubtotals="1" fieldPosition="0">
        <references count="1">
          <reference field="8" count="1" selected="0" defaultSubtotal="1">
            <x v="5"/>
          </reference>
        </references>
      </pivotArea>
    </format>
    <format dxfId="76">
      <pivotArea dataOnly="0" labelOnly="1" fieldPosition="0">
        <references count="1">
          <reference field="8" count="1" defaultSubtotal="1">
            <x v="5"/>
          </reference>
        </references>
      </pivotArea>
    </format>
    <format dxfId="75">
      <pivotArea outline="0" collapsedLevelsAreSubtotals="1" fieldPosition="0">
        <references count="2">
          <reference field="8" count="1" selected="0">
            <x v="3"/>
          </reference>
          <reference field="9" count="1" selected="0" defaultSubtotal="1">
            <x v="0"/>
          </reference>
        </references>
      </pivotArea>
    </format>
    <format dxfId="74">
      <pivotArea outline="0" collapsedLevelsAreSubtotals="1" fieldPosition="0">
        <references count="2">
          <reference field="8" count="1" selected="0">
            <x v="3"/>
          </reference>
          <reference field="9" count="1" selected="0" defaultSubtotal="1">
            <x v="0"/>
          </reference>
        </references>
      </pivotArea>
    </format>
    <format dxfId="73">
      <pivotArea outline="0" collapsedLevelsAreSubtotals="1" fieldPosition="0">
        <references count="2">
          <reference field="8" count="1" selected="0">
            <x v="3"/>
          </reference>
          <reference field="9" count="1" selected="0" defaultSubtotal="1">
            <x v="0"/>
          </reference>
        </references>
      </pivotArea>
    </format>
    <format dxfId="72">
      <pivotArea dataOnly="0" labelOnly="1" fieldPosition="0">
        <references count="2">
          <reference field="8" count="1" selected="0">
            <x v="3"/>
          </reference>
          <reference field="9" count="1" defaultSubtotal="1">
            <x v="0"/>
          </reference>
        </references>
      </pivotArea>
    </format>
    <format dxfId="71">
      <pivotArea outline="0" collapsedLevelsAreSubtotals="1" fieldPosition="0">
        <references count="1">
          <reference field="8" count="1" selected="0" defaultSubtotal="1">
            <x v="14"/>
          </reference>
        </references>
      </pivotArea>
    </format>
    <format dxfId="70">
      <pivotArea dataOnly="0" labelOnly="1" fieldPosition="0">
        <references count="1">
          <reference field="8" count="1" defaultSubtotal="1">
            <x v="14"/>
          </reference>
        </references>
      </pivotArea>
    </format>
    <format dxfId="69">
      <pivotArea outline="0" collapsedLevelsAreSubtotals="1" fieldPosition="0">
        <references count="2">
          <reference field="8" count="1" selected="0">
            <x v="12"/>
          </reference>
          <reference field="9" count="1" selected="0" defaultSubtotal="1">
            <x v="13"/>
          </reference>
        </references>
      </pivotArea>
    </format>
    <format dxfId="68">
      <pivotArea dataOnly="0" labelOnly="1" fieldPosition="0">
        <references count="2">
          <reference field="8" count="1" selected="0">
            <x v="12"/>
          </reference>
          <reference field="9" count="1" defaultSubtotal="1">
            <x v="13"/>
          </reference>
        </references>
      </pivotArea>
    </format>
    <format dxfId="67">
      <pivotArea outline="0" collapsedLevelsAreSubtotals="1" fieldPosition="0">
        <references count="1">
          <reference field="8" count="1" selected="0" defaultSubtotal="1">
            <x v="6"/>
          </reference>
        </references>
      </pivotArea>
    </format>
    <format dxfId="66">
      <pivotArea dataOnly="0" labelOnly="1" fieldPosition="0">
        <references count="1">
          <reference field="8" count="1" defaultSubtotal="1">
            <x v="6"/>
          </reference>
        </references>
      </pivotArea>
    </format>
    <format dxfId="65">
      <pivotArea outline="0" collapsedLevelsAreSubtotals="1" fieldPosition="0">
        <references count="1">
          <reference field="8" count="1" selected="0" defaultSubtotal="1">
            <x v="12"/>
          </reference>
        </references>
      </pivotArea>
    </format>
    <format dxfId="64">
      <pivotArea dataOnly="0" labelOnly="1" fieldPosition="0">
        <references count="1">
          <reference field="8" count="1" defaultSubtotal="1">
            <x v="12"/>
          </reference>
        </references>
      </pivotArea>
    </format>
    <format dxfId="63">
      <pivotArea outline="0" collapsedLevelsAreSubtotals="1" fieldPosition="0">
        <references count="1">
          <reference field="8" count="1" selected="0" defaultSubtotal="1">
            <x v="20"/>
          </reference>
        </references>
      </pivotArea>
    </format>
    <format dxfId="62">
      <pivotArea dataOnly="0" labelOnly="1" fieldPosition="0">
        <references count="1">
          <reference field="8" count="1" defaultSubtotal="1">
            <x v="20"/>
          </reference>
        </references>
      </pivotArea>
    </format>
    <format dxfId="61">
      <pivotArea outline="0" collapsedLevelsAreSubtotals="1" fieldPosition="0">
        <references count="1">
          <reference field="8" count="1" selected="0" defaultSubtotal="1">
            <x v="16"/>
          </reference>
        </references>
      </pivotArea>
    </format>
    <format dxfId="60">
      <pivotArea dataOnly="0" labelOnly="1" fieldPosition="0">
        <references count="1">
          <reference field="8" count="1" defaultSubtotal="1">
            <x v="16"/>
          </reference>
        </references>
      </pivotArea>
    </format>
    <format dxfId="59">
      <pivotArea outline="0" collapsedLevelsAreSubtotals="1" fieldPosition="0">
        <references count="1">
          <reference field="8" count="1" selected="0" defaultSubtotal="1">
            <x v="11"/>
          </reference>
        </references>
      </pivotArea>
    </format>
    <format dxfId="58">
      <pivotArea dataOnly="0" labelOnly="1" fieldPosition="0">
        <references count="1">
          <reference field="8" count="1" defaultSubtotal="1">
            <x v="11"/>
          </reference>
        </references>
      </pivotArea>
    </format>
    <format dxfId="57">
      <pivotArea outline="0" collapsedLevelsAreSubtotals="1" fieldPosition="0">
        <references count="1">
          <reference field="8" count="1" selected="0" defaultSubtotal="1">
            <x v="21"/>
          </reference>
        </references>
      </pivotArea>
    </format>
    <format dxfId="56">
      <pivotArea dataOnly="0" labelOnly="1" fieldPosition="0">
        <references count="1">
          <reference field="8" count="1" defaultSubtotal="1">
            <x v="21"/>
          </reference>
        </references>
      </pivotArea>
    </format>
    <format dxfId="55">
      <pivotArea outline="0" collapsedLevelsAreSubtotals="1" fieldPosition="0">
        <references count="1">
          <reference field="8" count="1" selected="0" defaultSubtotal="1">
            <x v="0"/>
          </reference>
        </references>
      </pivotArea>
    </format>
    <format dxfId="54">
      <pivotArea dataOnly="0" labelOnly="1" fieldPosition="0">
        <references count="1">
          <reference field="8" count="1" defaultSubtotal="1">
            <x v="0"/>
          </reference>
        </references>
      </pivotArea>
    </format>
    <format dxfId="53">
      <pivotArea outline="0" collapsedLevelsAreSubtotals="1" fieldPosition="0">
        <references count="1">
          <reference field="8" count="1" selected="0" defaultSubtotal="1">
            <x v="19"/>
          </reference>
        </references>
      </pivotArea>
    </format>
    <format dxfId="52">
      <pivotArea dataOnly="0" labelOnly="1" fieldPosition="0">
        <references count="1">
          <reference field="8" count="1" defaultSubtotal="1">
            <x v="19"/>
          </reference>
        </references>
      </pivotArea>
    </format>
    <format dxfId="51">
      <pivotArea outline="0" collapsedLevelsAreSubtotals="1" fieldPosition="0">
        <references count="1">
          <reference field="8" count="1" selected="0" defaultSubtotal="1">
            <x v="9"/>
          </reference>
        </references>
      </pivotArea>
    </format>
    <format dxfId="50">
      <pivotArea dataOnly="0" labelOnly="1" fieldPosition="0">
        <references count="1">
          <reference field="8" count="1" defaultSubtotal="1">
            <x v="9"/>
          </reference>
        </references>
      </pivotArea>
    </format>
    <format dxfId="49">
      <pivotArea outline="0" collapsedLevelsAreSubtotals="1" fieldPosition="0">
        <references count="1">
          <reference field="8" count="1" selected="0" defaultSubtotal="1">
            <x v="10"/>
          </reference>
        </references>
      </pivotArea>
    </format>
    <format dxfId="48">
      <pivotArea dataOnly="0" labelOnly="1" fieldPosition="0">
        <references count="1">
          <reference field="8" count="1" defaultSubtotal="1">
            <x v="10"/>
          </reference>
        </references>
      </pivotArea>
    </format>
    <format dxfId="47">
      <pivotArea outline="0" collapsedLevelsAreSubtotals="1" fieldPosition="0">
        <references count="1">
          <reference field="8" count="1" selected="0" defaultSubtotal="1">
            <x v="1"/>
          </reference>
        </references>
      </pivotArea>
    </format>
    <format dxfId="46">
      <pivotArea dataOnly="0" labelOnly="1" fieldPosition="0">
        <references count="1">
          <reference field="8" count="1" defaultSubtotal="1">
            <x v="1"/>
          </reference>
        </references>
      </pivotArea>
    </format>
    <format dxfId="45">
      <pivotArea outline="0" collapsedLevelsAreSubtotals="1" fieldPosition="0">
        <references count="1">
          <reference field="8" count="1" selected="0" defaultSubtotal="1">
            <x v="17"/>
          </reference>
        </references>
      </pivotArea>
    </format>
    <format dxfId="44">
      <pivotArea dataOnly="0" labelOnly="1" fieldPosition="0">
        <references count="1">
          <reference field="8" count="1" defaultSubtotal="1">
            <x v="17"/>
          </reference>
        </references>
      </pivotArea>
    </format>
    <format dxfId="43">
      <pivotArea outline="0" collapsedLevelsAreSubtotals="1" fieldPosition="0">
        <references count="1">
          <reference field="8" count="1" selected="0" defaultSubtotal="1">
            <x v="11"/>
          </reference>
        </references>
      </pivotArea>
    </format>
    <format dxfId="42">
      <pivotArea dataOnly="0" labelOnly="1" fieldPosition="0">
        <references count="1">
          <reference field="8" count="1" defaultSubtotal="1">
            <x v="11"/>
          </reference>
        </references>
      </pivotArea>
    </format>
    <format dxfId="41">
      <pivotArea outline="0" collapsedLevelsAreSubtotals="1" fieldPosition="0">
        <references count="1">
          <reference field="8" count="1" selected="0" defaultSubtotal="1">
            <x v="17"/>
          </reference>
        </references>
      </pivotArea>
    </format>
    <format dxfId="40">
      <pivotArea dataOnly="0" labelOnly="1" fieldPosition="0">
        <references count="1">
          <reference field="8" count="1" defaultSubtotal="1">
            <x v="17"/>
          </reference>
        </references>
      </pivotArea>
    </format>
    <format dxfId="39">
      <pivotArea outline="0" collapsedLevelsAreSubtotals="1" fieldPosition="0">
        <references count="1">
          <reference field="8" count="1" selected="0" defaultSubtotal="1">
            <x v="1"/>
          </reference>
        </references>
      </pivotArea>
    </format>
    <format dxfId="38">
      <pivotArea dataOnly="0" labelOnly="1" fieldPosition="0">
        <references count="1">
          <reference field="8" count="1" defaultSubtotal="1">
            <x v="1"/>
          </reference>
        </references>
      </pivotArea>
    </format>
    <format dxfId="37">
      <pivotArea outline="0" collapsedLevelsAreSubtotals="1" fieldPosition="0">
        <references count="1">
          <reference field="8" count="1" selected="0" defaultSubtotal="1">
            <x v="10"/>
          </reference>
        </references>
      </pivotArea>
    </format>
    <format dxfId="36">
      <pivotArea dataOnly="0" labelOnly="1" fieldPosition="0">
        <references count="1">
          <reference field="8" count="1" defaultSubtotal="1">
            <x v="10"/>
          </reference>
        </references>
      </pivotArea>
    </format>
    <format dxfId="35">
      <pivotArea outline="0" collapsedLevelsAreSubtotals="1" fieldPosition="0">
        <references count="1">
          <reference field="8" count="1" selected="0" defaultSubtotal="1">
            <x v="9"/>
          </reference>
        </references>
      </pivotArea>
    </format>
    <format dxfId="34">
      <pivotArea dataOnly="0" labelOnly="1" fieldPosition="0">
        <references count="1">
          <reference field="8" count="1" defaultSubtotal="1">
            <x v="9"/>
          </reference>
        </references>
      </pivotArea>
    </format>
    <format dxfId="33">
      <pivotArea outline="0" collapsedLevelsAreSubtotals="1" fieldPosition="0">
        <references count="1">
          <reference field="8" count="1" selected="0" defaultSubtotal="1">
            <x v="19"/>
          </reference>
        </references>
      </pivotArea>
    </format>
    <format dxfId="32">
      <pivotArea dataOnly="0" labelOnly="1" fieldPosition="0">
        <references count="1">
          <reference field="8" count="1" defaultSubtotal="1">
            <x v="19"/>
          </reference>
        </references>
      </pivotArea>
    </format>
    <format dxfId="31">
      <pivotArea outline="0" collapsedLevelsAreSubtotals="1" fieldPosition="0">
        <references count="1">
          <reference field="8" count="1" selected="0" defaultSubtotal="1">
            <x v="0"/>
          </reference>
        </references>
      </pivotArea>
    </format>
    <format dxfId="30">
      <pivotArea dataOnly="0" labelOnly="1" fieldPosition="0">
        <references count="1">
          <reference field="8" count="1" defaultSubtotal="1">
            <x v="0"/>
          </reference>
        </references>
      </pivotArea>
    </format>
    <format dxfId="29">
      <pivotArea outline="0" collapsedLevelsAreSubtotals="1" fieldPosition="0">
        <references count="1">
          <reference field="8" count="1" selected="0" defaultSubtotal="1">
            <x v="21"/>
          </reference>
        </references>
      </pivotArea>
    </format>
    <format dxfId="28">
      <pivotArea dataOnly="0" labelOnly="1" fieldPosition="0">
        <references count="1">
          <reference field="8" count="1" defaultSubtotal="1">
            <x v="21"/>
          </reference>
        </references>
      </pivotArea>
    </format>
    <format dxfId="27">
      <pivotArea outline="0" collapsedLevelsAreSubtotals="1" fieldPosition="0">
        <references count="1">
          <reference field="8" count="1" selected="0" defaultSubtotal="1">
            <x v="15"/>
          </reference>
        </references>
      </pivotArea>
    </format>
    <format dxfId="26">
      <pivotArea dataOnly="0" labelOnly="1" fieldPosition="0">
        <references count="1">
          <reference field="8" count="1" defaultSubtotal="1">
            <x v="15"/>
          </reference>
        </references>
      </pivotArea>
    </format>
    <format dxfId="25">
      <pivotArea outline="0" collapsedLevelsAreSubtotals="1" fieldPosition="0">
        <references count="1">
          <reference field="8" count="1" selected="0" defaultSubtotal="1">
            <x v="4"/>
          </reference>
        </references>
      </pivotArea>
    </format>
    <format dxfId="24">
      <pivotArea dataOnly="0" labelOnly="1" fieldPosition="0">
        <references count="1">
          <reference field="8" count="1" defaultSubtotal="1">
            <x v="4"/>
          </reference>
        </references>
      </pivotArea>
    </format>
    <format dxfId="23">
      <pivotArea outline="0" collapsedLevelsAreSubtotals="1" fieldPosition="0">
        <references count="1">
          <reference field="8" count="1" selected="0" defaultSubtotal="1">
            <x v="13"/>
          </reference>
        </references>
      </pivotArea>
    </format>
    <format dxfId="22">
      <pivotArea dataOnly="0" labelOnly="1" fieldPosition="0">
        <references count="1">
          <reference field="8" count="1" defaultSubtotal="1">
            <x v="13"/>
          </reference>
        </references>
      </pivotArea>
    </format>
    <format dxfId="21">
      <pivotArea outline="0" collapsedLevelsAreSubtotals="1" fieldPosition="0">
        <references count="1">
          <reference field="8" count="1" selected="0" defaultSubtotal="1">
            <x v="3"/>
          </reference>
        </references>
      </pivotArea>
    </format>
    <format dxfId="20">
      <pivotArea dataOnly="0" labelOnly="1" fieldPosition="0">
        <references count="1">
          <reference field="8" count="1" defaultSubtotal="1">
            <x v="3"/>
          </reference>
        </references>
      </pivotArea>
    </format>
    <format dxfId="19">
      <pivotArea outline="0" collapsedLevelsAreSubtotals="1" fieldPosition="0">
        <references count="1">
          <reference field="8" count="1" selected="0" defaultSubtotal="1">
            <x v="2"/>
          </reference>
        </references>
      </pivotArea>
    </format>
    <format dxfId="18">
      <pivotArea dataOnly="0" labelOnly="1" fieldPosition="0">
        <references count="1">
          <reference field="8" count="1" defaultSubtotal="1">
            <x v="2"/>
          </reference>
        </references>
      </pivotArea>
    </format>
    <format dxfId="17">
      <pivotArea outline="0" collapsedLevelsAreSubtotals="1" fieldPosition="0">
        <references count="2">
          <reference field="8" count="1" selected="0">
            <x v="2"/>
          </reference>
          <reference field="9" count="1" selected="0" defaultSubtotal="1">
            <x v="0"/>
          </reference>
        </references>
      </pivotArea>
    </format>
    <format dxfId="16">
      <pivotArea outline="0" collapsedLevelsAreSubtotals="1" fieldPosition="0">
        <references count="2">
          <reference field="8" count="1" selected="0">
            <x v="2"/>
          </reference>
          <reference field="9" count="4" selected="0" defaultSubtotal="1">
            <x v="2"/>
            <x v="3"/>
            <x v="8"/>
            <x v="9"/>
          </reference>
        </references>
      </pivotArea>
    </format>
    <format dxfId="15">
      <pivotArea outline="0" collapsedLevelsAreSubtotals="1" fieldPosition="0">
        <references count="1">
          <reference field="8" count="1" selected="0" defaultSubtotal="1">
            <x v="2"/>
          </reference>
        </references>
      </pivotArea>
    </format>
    <format dxfId="14">
      <pivotArea outline="0" collapsedLevelsAreSubtotals="1" fieldPosition="0">
        <references count="1">
          <reference field="8" count="18" selected="0" defaultSubtotal="1">
            <x v="0"/>
            <x v="1"/>
            <x v="3"/>
            <x v="4"/>
            <x v="5"/>
            <x v="6"/>
            <x v="9"/>
            <x v="10"/>
            <x v="11"/>
            <x v="12"/>
            <x v="13"/>
            <x v="14"/>
            <x v="15"/>
            <x v="16"/>
            <x v="17"/>
            <x v="19"/>
            <x v="20"/>
            <x v="21"/>
          </reference>
        </references>
      </pivotArea>
    </format>
    <format dxfId="13">
      <pivotArea outline="0" collapsedLevelsAreSubtotals="1" fieldPosition="0">
        <references count="2">
          <reference field="8" count="1" selected="0">
            <x v="2"/>
          </reference>
          <reference field="9" count="4" selected="0" defaultSubtotal="1">
            <x v="2"/>
            <x v="3"/>
            <x v="8"/>
            <x v="9"/>
          </reference>
        </references>
      </pivotArea>
    </format>
    <format dxfId="12">
      <pivotArea outline="0" collapsedLevelsAreSubtotals="1" fieldPosition="0">
        <references count="1">
          <reference field="8" count="1" selected="0" defaultSubtotal="1">
            <x v="2"/>
          </reference>
        </references>
      </pivotArea>
    </format>
    <format dxfId="11">
      <pivotArea outline="0" collapsedLevelsAreSubtotals="1" fieldPosition="0">
        <references count="1">
          <reference field="8" count="19" selected="0" defaultSubtotal="1">
            <x v="0"/>
            <x v="1"/>
            <x v="3"/>
            <x v="4"/>
            <x v="5"/>
            <x v="6"/>
            <x v="9"/>
            <x v="10"/>
            <x v="11"/>
            <x v="12"/>
            <x v="13"/>
            <x v="14"/>
            <x v="15"/>
            <x v="16"/>
            <x v="17"/>
            <x v="18"/>
            <x v="19"/>
            <x v="20"/>
            <x v="21"/>
          </reference>
        </references>
      </pivotArea>
    </format>
    <format dxfId="10">
      <pivotArea outline="0" collapsedLevelsAreSubtotals="1" fieldPosition="0">
        <references count="2">
          <reference field="8" count="1" selected="0">
            <x v="8"/>
          </reference>
          <reference field="9" count="1" selected="0" defaultSubtotal="1">
            <x v="15"/>
          </reference>
        </references>
      </pivotArea>
    </format>
    <format dxfId="9">
      <pivotArea outline="0" collapsedLevelsAreSubtotals="1" fieldPosition="0">
        <references count="2">
          <reference field="8" count="1" selected="0">
            <x v="8"/>
          </reference>
          <reference field="9" count="1" selected="0" defaultSubtotal="1">
            <x v="11"/>
          </reference>
        </references>
      </pivotArea>
    </format>
    <format dxfId="8">
      <pivotArea dataOnly="0" labelOnly="1" outline="0" fieldPosition="0">
        <references count="4">
          <reference field="8" count="1" selected="0">
            <x v="5"/>
          </reference>
          <reference field="9" count="1" selected="0">
            <x v="7"/>
          </reference>
          <reference field="16" count="1" selected="0">
            <x v="130"/>
          </reference>
          <reference field="19" count="1">
            <x v="15"/>
          </reference>
        </references>
      </pivotArea>
    </format>
    <format dxfId="7">
      <pivotArea dataOnly="0" labelOnly="1" outline="0" fieldPosition="0">
        <references count="4">
          <reference field="8" count="1" selected="0">
            <x v="5"/>
          </reference>
          <reference field="9" count="1" selected="0">
            <x v="7"/>
          </reference>
          <reference field="16" count="1" selected="0">
            <x v="139"/>
          </reference>
          <reference field="19" count="1">
            <x v="25"/>
          </reference>
        </references>
      </pivotArea>
    </format>
    <format dxfId="6">
      <pivotArea dataOnly="0" labelOnly="1" outline="0" fieldPosition="0">
        <references count="4">
          <reference field="8" count="1" selected="0">
            <x v="5"/>
          </reference>
          <reference field="9" count="1" selected="0">
            <x v="7"/>
          </reference>
          <reference field="16" count="1" selected="0">
            <x v="153"/>
          </reference>
          <reference field="19" count="1">
            <x v="15"/>
          </reference>
        </references>
      </pivotArea>
    </format>
    <format dxfId="5">
      <pivotArea dataOnly="0" labelOnly="1" outline="0" fieldPosition="0">
        <references count="4">
          <reference field="8" count="1" selected="0">
            <x v="5"/>
          </reference>
          <reference field="9" count="1" selected="0">
            <x v="7"/>
          </reference>
          <reference field="16" count="1" selected="0">
            <x v="181"/>
          </reference>
          <reference field="19" count="1">
            <x v="11"/>
          </reference>
        </references>
      </pivotArea>
    </format>
    <format dxfId="4">
      <pivotArea dataOnly="0" labelOnly="1" outline="0" fieldPosition="0">
        <references count="4">
          <reference field="8" count="1" selected="0">
            <x v="5"/>
          </reference>
          <reference field="9" count="1" selected="0">
            <x v="7"/>
          </reference>
          <reference field="16" count="1" selected="0">
            <x v="191"/>
          </reference>
          <reference field="19" count="1">
            <x v="15"/>
          </reference>
        </references>
      </pivotArea>
    </format>
    <format dxfId="3">
      <pivotArea dataOnly="0" labelOnly="1" outline="0" fieldPosition="0">
        <references count="4">
          <reference field="8" count="1" selected="0">
            <x v="6"/>
          </reference>
          <reference field="9" count="1" selected="0">
            <x v="3"/>
          </reference>
          <reference field="16" count="1" selected="0">
            <x v="144"/>
          </reference>
          <reference field="19" count="1">
            <x v="15"/>
          </reference>
        </references>
      </pivotArea>
    </format>
    <format dxfId="2">
      <pivotArea dataOnly="0" labelOnly="1" outline="0" fieldPosition="0">
        <references count="4">
          <reference field="8" count="1" selected="0">
            <x v="6"/>
          </reference>
          <reference field="9" count="1" selected="0">
            <x v="3"/>
          </reference>
          <reference field="16" count="1" selected="0">
            <x v="146"/>
          </reference>
          <reference field="19" count="1">
            <x v="15"/>
          </reference>
        </references>
      </pivotArea>
    </format>
    <format dxfId="1">
      <pivotArea dataOnly="0" labelOnly="1" outline="0" fieldPosition="0">
        <references count="4">
          <reference field="8" count="1" selected="0">
            <x v="6"/>
          </reference>
          <reference field="9" count="1" selected="0">
            <x v="14"/>
          </reference>
          <reference field="16" count="1" selected="0">
            <x v="192"/>
          </reference>
          <reference field="19" count="1">
            <x v="15"/>
          </reference>
        </references>
      </pivotArea>
    </format>
    <format dxfId="0">
      <pivotArea dataOnly="0" labelOnly="1" outline="0" fieldPosition="0">
        <references count="4">
          <reference field="8" count="1" selected="0">
            <x v="6"/>
          </reference>
          <reference field="9" count="1" selected="0">
            <x v="22"/>
          </reference>
          <reference field="16" count="1" selected="0">
            <x v="187"/>
          </reference>
          <reference field="19" count="1">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X34"/>
  <sheetViews>
    <sheetView topLeftCell="G16" zoomScale="80" zoomScaleNormal="80" workbookViewId="0">
      <selection activeCell="L37" sqref="L37"/>
    </sheetView>
  </sheetViews>
  <sheetFormatPr baseColWidth="10" defaultColWidth="21.42578125" defaultRowHeight="15" x14ac:dyDescent="0.25"/>
  <cols>
    <col min="1" max="1" width="6.42578125" customWidth="1"/>
    <col min="9" max="9" width="21.42578125" style="5"/>
  </cols>
  <sheetData>
    <row r="2" spans="2:24" x14ac:dyDescent="0.25">
      <c r="H2" s="157" t="s">
        <v>113</v>
      </c>
      <c r="I2" s="157"/>
      <c r="J2" s="157"/>
      <c r="L2" s="157" t="s">
        <v>114</v>
      </c>
      <c r="M2" s="157"/>
      <c r="N2" s="157"/>
      <c r="O2" s="157"/>
      <c r="P2" s="157"/>
      <c r="Q2" s="157"/>
      <c r="R2" s="157"/>
      <c r="S2" s="157"/>
      <c r="U2" s="157" t="s">
        <v>115</v>
      </c>
      <c r="V2" s="157"/>
      <c r="W2" s="157"/>
      <c r="X2" s="157"/>
    </row>
    <row r="3" spans="2:24" ht="30" x14ac:dyDescent="0.25">
      <c r="H3" s="58" t="s">
        <v>116</v>
      </c>
      <c r="I3" s="58" t="s">
        <v>117</v>
      </c>
      <c r="J3" s="58" t="s">
        <v>29</v>
      </c>
      <c r="L3" s="158" t="s">
        <v>118</v>
      </c>
      <c r="M3" s="158" t="s">
        <v>34</v>
      </c>
      <c r="N3" s="158" t="s">
        <v>119</v>
      </c>
      <c r="O3" s="158" t="s">
        <v>120</v>
      </c>
      <c r="P3" s="158" t="s">
        <v>29</v>
      </c>
      <c r="Q3" s="162" t="s">
        <v>121</v>
      </c>
      <c r="R3" s="162" t="s">
        <v>122</v>
      </c>
      <c r="S3" s="162" t="s">
        <v>123</v>
      </c>
      <c r="U3" s="59" t="s">
        <v>4</v>
      </c>
      <c r="V3" s="60" t="s">
        <v>124</v>
      </c>
      <c r="W3" s="60" t="s">
        <v>125</v>
      </c>
      <c r="X3" s="58" t="s">
        <v>3</v>
      </c>
    </row>
    <row r="4" spans="2:24" x14ac:dyDescent="0.25">
      <c r="H4" s="2" t="s">
        <v>126</v>
      </c>
      <c r="I4" s="6">
        <v>1.0864</v>
      </c>
      <c r="J4" s="6">
        <v>34</v>
      </c>
      <c r="L4" s="158"/>
      <c r="M4" s="158"/>
      <c r="N4" s="158"/>
      <c r="O4" s="158"/>
      <c r="P4" s="158"/>
      <c r="Q4" s="162"/>
      <c r="R4" s="162"/>
      <c r="S4" s="162"/>
      <c r="U4" s="61" t="s">
        <v>127</v>
      </c>
      <c r="V4" s="58">
        <v>7</v>
      </c>
      <c r="W4" s="58">
        <v>0</v>
      </c>
      <c r="X4" s="59" t="s">
        <v>128</v>
      </c>
    </row>
    <row r="5" spans="2:24" x14ac:dyDescent="0.25">
      <c r="H5" s="2" t="s">
        <v>129</v>
      </c>
      <c r="I5" s="6">
        <v>0.88270000000000004</v>
      </c>
      <c r="J5" s="6">
        <v>23</v>
      </c>
      <c r="L5" s="59" t="s">
        <v>130</v>
      </c>
      <c r="M5" s="62">
        <v>0.30570000000000003</v>
      </c>
      <c r="N5" s="63">
        <f>M5/3.245</f>
        <v>9.4206471494607091E-2</v>
      </c>
      <c r="O5" s="64">
        <v>235</v>
      </c>
      <c r="P5" s="65">
        <v>4</v>
      </c>
      <c r="Q5" s="66"/>
      <c r="R5" s="2"/>
      <c r="S5" s="66">
        <v>43160</v>
      </c>
      <c r="U5" s="61" t="s">
        <v>131</v>
      </c>
      <c r="V5" s="58">
        <v>6</v>
      </c>
      <c r="W5" s="58">
        <v>0</v>
      </c>
      <c r="X5" s="59" t="s">
        <v>128</v>
      </c>
    </row>
    <row r="6" spans="2:24" x14ac:dyDescent="0.25">
      <c r="H6" s="2" t="s">
        <v>132</v>
      </c>
      <c r="I6" s="6">
        <v>0.38190000000000002</v>
      </c>
      <c r="J6" s="6">
        <v>11</v>
      </c>
      <c r="L6" s="59" t="s">
        <v>133</v>
      </c>
      <c r="M6" s="62">
        <v>0.2999</v>
      </c>
      <c r="N6" s="63">
        <f t="shared" ref="N6:N9" si="0">M6/3.245</f>
        <v>9.2419106317411404E-2</v>
      </c>
      <c r="O6" s="64">
        <v>570</v>
      </c>
      <c r="P6" s="65">
        <v>5</v>
      </c>
      <c r="Q6" s="67"/>
      <c r="R6" s="68"/>
      <c r="S6" s="6"/>
      <c r="U6" s="61" t="s">
        <v>133</v>
      </c>
      <c r="V6" s="58">
        <v>4</v>
      </c>
      <c r="W6" s="58">
        <v>1</v>
      </c>
      <c r="X6" s="59" t="s">
        <v>128</v>
      </c>
    </row>
    <row r="7" spans="2:24" ht="45" x14ac:dyDescent="0.25">
      <c r="H7" s="2" t="s">
        <v>134</v>
      </c>
      <c r="I7" s="6">
        <v>0.18</v>
      </c>
      <c r="J7" s="6">
        <v>1</v>
      </c>
      <c r="L7" s="59" t="s">
        <v>127</v>
      </c>
      <c r="M7" s="62">
        <v>0.2923</v>
      </c>
      <c r="N7" s="63">
        <f t="shared" si="0"/>
        <v>9.0077041602465324E-2</v>
      </c>
      <c r="O7" s="65">
        <v>448</v>
      </c>
      <c r="P7" s="65">
        <v>7</v>
      </c>
      <c r="Q7" s="67">
        <v>42845</v>
      </c>
      <c r="R7" s="69" t="s">
        <v>135</v>
      </c>
      <c r="S7" s="10"/>
      <c r="U7" s="61" t="s">
        <v>130</v>
      </c>
      <c r="V7" s="58">
        <v>4</v>
      </c>
      <c r="W7" s="58">
        <v>0</v>
      </c>
      <c r="X7" s="59" t="s">
        <v>128</v>
      </c>
    </row>
    <row r="8" spans="2:24" ht="60" x14ac:dyDescent="0.25">
      <c r="H8" s="2" t="s">
        <v>136</v>
      </c>
      <c r="I8" s="6">
        <v>0.15160000000000001</v>
      </c>
      <c r="J8" s="6">
        <v>1</v>
      </c>
      <c r="L8" s="59" t="s">
        <v>131</v>
      </c>
      <c r="M8" s="62">
        <v>0.2492</v>
      </c>
      <c r="N8" s="63">
        <f t="shared" si="0"/>
        <v>7.6795069337442221E-2</v>
      </c>
      <c r="O8" s="65">
        <v>189</v>
      </c>
      <c r="P8" s="65">
        <v>6</v>
      </c>
      <c r="Q8" s="67">
        <v>42845</v>
      </c>
      <c r="R8" s="68" t="s">
        <v>137</v>
      </c>
      <c r="S8" s="6"/>
      <c r="U8" s="61" t="s">
        <v>138</v>
      </c>
      <c r="V8" s="58">
        <v>4</v>
      </c>
      <c r="W8" s="58">
        <v>0</v>
      </c>
      <c r="X8" s="59" t="s">
        <v>139</v>
      </c>
    </row>
    <row r="9" spans="2:24" ht="60" x14ac:dyDescent="0.25">
      <c r="H9" s="52" t="s">
        <v>140</v>
      </c>
      <c r="I9" s="55">
        <f>SUM(I4:I8)</f>
        <v>2.6826000000000003</v>
      </c>
      <c r="J9" s="55">
        <f>SUM(J4:J8)</f>
        <v>70</v>
      </c>
      <c r="L9" s="59" t="s">
        <v>141</v>
      </c>
      <c r="M9" s="62">
        <v>0.22850000000000001</v>
      </c>
      <c r="N9" s="63">
        <f t="shared" si="0"/>
        <v>7.0416024653312786E-2</v>
      </c>
      <c r="O9" s="65">
        <v>2348</v>
      </c>
      <c r="P9" s="65">
        <v>1</v>
      </c>
      <c r="Q9" s="67">
        <v>42846</v>
      </c>
      <c r="R9" s="68" t="s">
        <v>142</v>
      </c>
      <c r="S9" s="6"/>
      <c r="U9" s="61" t="s">
        <v>143</v>
      </c>
      <c r="V9" s="58">
        <v>4</v>
      </c>
      <c r="W9" s="58">
        <v>0</v>
      </c>
      <c r="X9" s="59" t="s">
        <v>139</v>
      </c>
    </row>
    <row r="10" spans="2:24" x14ac:dyDescent="0.25">
      <c r="L10" s="2" t="s">
        <v>144</v>
      </c>
      <c r="M10" s="2">
        <f>SUM(M5:M9)</f>
        <v>1.3755999999999999</v>
      </c>
      <c r="N10" s="2" t="s">
        <v>145</v>
      </c>
      <c r="O10" s="2"/>
      <c r="P10" s="2"/>
      <c r="Q10" s="2"/>
      <c r="R10" s="53"/>
      <c r="S10" s="53"/>
      <c r="T10" s="70"/>
    </row>
    <row r="11" spans="2:24" x14ac:dyDescent="0.25">
      <c r="H11" t="s">
        <v>146</v>
      </c>
      <c r="R11" s="71"/>
      <c r="S11" s="71"/>
      <c r="T11" s="71"/>
    </row>
    <row r="12" spans="2:24" x14ac:dyDescent="0.25">
      <c r="H12" t="s">
        <v>147</v>
      </c>
      <c r="L12" s="156" t="s">
        <v>148</v>
      </c>
      <c r="M12" s="156"/>
      <c r="N12" s="156"/>
      <c r="O12" s="156"/>
      <c r="P12" s="156"/>
      <c r="Q12" s="156"/>
      <c r="R12" s="156"/>
      <c r="S12" s="156"/>
      <c r="T12" s="156"/>
      <c r="U12" s="156"/>
      <c r="V12" s="156"/>
    </row>
    <row r="13" spans="2:24" x14ac:dyDescent="0.25">
      <c r="L13" s="156"/>
      <c r="M13" s="156"/>
      <c r="N13" s="156"/>
      <c r="O13" s="156"/>
      <c r="P13" s="156"/>
      <c r="Q13" s="156"/>
      <c r="R13" s="156"/>
      <c r="S13" s="156"/>
      <c r="T13" s="156"/>
      <c r="U13" s="156"/>
      <c r="V13" s="156"/>
    </row>
    <row r="14" spans="2:24" x14ac:dyDescent="0.25">
      <c r="R14" s="71"/>
      <c r="S14" s="71"/>
      <c r="T14" s="71"/>
    </row>
    <row r="15" spans="2:24" x14ac:dyDescent="0.25">
      <c r="B15" s="6" t="s">
        <v>149</v>
      </c>
      <c r="C15" s="6" t="s">
        <v>150</v>
      </c>
      <c r="D15" s="6" t="s">
        <v>151</v>
      </c>
      <c r="E15" s="6" t="s">
        <v>152</v>
      </c>
      <c r="F15" s="6" t="s">
        <v>153</v>
      </c>
      <c r="G15" s="6" t="s">
        <v>154</v>
      </c>
      <c r="H15" s="6" t="s">
        <v>155</v>
      </c>
      <c r="I15" s="6" t="s">
        <v>156</v>
      </c>
      <c r="J15" s="6" t="s">
        <v>157</v>
      </c>
      <c r="K15" s="6" t="s">
        <v>158</v>
      </c>
      <c r="L15" s="6" t="s">
        <v>159</v>
      </c>
      <c r="M15" s="6" t="s">
        <v>160</v>
      </c>
      <c r="N15" s="6" t="s">
        <v>161</v>
      </c>
      <c r="R15" s="71"/>
      <c r="S15" s="71"/>
      <c r="T15" s="71"/>
    </row>
    <row r="16" spans="2:24" x14ac:dyDescent="0.25">
      <c r="B16" s="6" t="s">
        <v>162</v>
      </c>
      <c r="C16" s="6">
        <v>1.17</v>
      </c>
      <c r="D16" s="6">
        <v>0.74</v>
      </c>
      <c r="E16" s="6">
        <v>1.72</v>
      </c>
      <c r="F16" s="6">
        <v>6.94</v>
      </c>
      <c r="G16" s="6">
        <v>5.43</v>
      </c>
      <c r="H16" s="6">
        <v>2.66</v>
      </c>
      <c r="I16" s="6">
        <v>1.91</v>
      </c>
      <c r="J16" s="6">
        <v>5.46</v>
      </c>
      <c r="K16" s="6">
        <v>2.46</v>
      </c>
      <c r="L16" s="6">
        <v>3.98</v>
      </c>
      <c r="M16" s="6">
        <v>1.97</v>
      </c>
      <c r="N16" s="6">
        <v>1.03</v>
      </c>
      <c r="R16" s="71"/>
      <c r="S16" s="71"/>
      <c r="T16" s="71"/>
    </row>
    <row r="17" spans="2:24" x14ac:dyDescent="0.25">
      <c r="B17" s="6" t="s">
        <v>163</v>
      </c>
      <c r="C17" s="6">
        <v>1.1200000000000001</v>
      </c>
      <c r="D17" s="6">
        <v>0.7</v>
      </c>
      <c r="E17" s="6">
        <v>1.63</v>
      </c>
      <c r="F17" s="6">
        <v>6.57</v>
      </c>
      <c r="G17" s="6">
        <v>5.12</v>
      </c>
      <c r="H17" s="6">
        <v>2.48</v>
      </c>
      <c r="I17" s="6">
        <v>1.78</v>
      </c>
      <c r="J17" s="6">
        <v>5.13</v>
      </c>
      <c r="K17" s="6">
        <v>2.33</v>
      </c>
      <c r="L17" s="6">
        <v>3.71</v>
      </c>
      <c r="M17" s="6">
        <v>1.85</v>
      </c>
      <c r="N17" s="6">
        <v>2.5</v>
      </c>
      <c r="R17" s="71"/>
      <c r="S17" s="71"/>
      <c r="T17" s="71"/>
    </row>
    <row r="18" spans="2:24" x14ac:dyDescent="0.25">
      <c r="B18" s="6" t="s">
        <v>164</v>
      </c>
      <c r="C18" s="6">
        <v>3.58</v>
      </c>
      <c r="D18" s="6">
        <v>0.6</v>
      </c>
      <c r="E18" s="6">
        <v>1.85</v>
      </c>
      <c r="F18" s="6">
        <v>1.32</v>
      </c>
      <c r="G18" s="6">
        <v>3.35</v>
      </c>
      <c r="H18" s="6"/>
      <c r="I18" s="6"/>
      <c r="J18" s="6"/>
      <c r="K18" s="6"/>
      <c r="L18" s="6"/>
      <c r="M18" s="6"/>
      <c r="N18" s="6"/>
    </row>
    <row r="19" spans="2:24" x14ac:dyDescent="0.25">
      <c r="U19" s="72"/>
      <c r="V19" s="72"/>
      <c r="W19" s="72"/>
      <c r="X19" s="72"/>
    </row>
    <row r="20" spans="2:24" x14ac:dyDescent="0.25">
      <c r="H20" s="157" t="s">
        <v>165</v>
      </c>
      <c r="I20" s="157"/>
      <c r="J20" s="157"/>
      <c r="K20" s="157"/>
      <c r="L20" s="157"/>
      <c r="M20" s="157"/>
      <c r="N20" s="157"/>
      <c r="O20" s="157"/>
      <c r="P20" s="157"/>
      <c r="Q20" s="157"/>
      <c r="R20" s="157"/>
      <c r="S20" s="157"/>
      <c r="T20" s="157"/>
      <c r="U20" s="157"/>
      <c r="V20" s="157"/>
      <c r="W20" s="157"/>
      <c r="X20" s="71"/>
    </row>
    <row r="21" spans="2:24" x14ac:dyDescent="0.25">
      <c r="C21" s="158" t="s">
        <v>166</v>
      </c>
      <c r="D21" s="158"/>
      <c r="E21" s="158"/>
      <c r="F21" s="158"/>
      <c r="L21" s="159" t="s">
        <v>167</v>
      </c>
      <c r="M21" s="159"/>
      <c r="N21" s="160" t="s">
        <v>139</v>
      </c>
      <c r="O21" s="161"/>
      <c r="P21" s="160" t="s">
        <v>168</v>
      </c>
      <c r="Q21" s="161"/>
      <c r="R21" s="159" t="s">
        <v>169</v>
      </c>
      <c r="S21" s="159"/>
      <c r="T21" s="159" t="s">
        <v>128</v>
      </c>
      <c r="U21" s="159"/>
      <c r="V21" s="159" t="s">
        <v>1</v>
      </c>
      <c r="W21" s="159"/>
      <c r="X21" s="51"/>
    </row>
    <row r="22" spans="2:24" x14ac:dyDescent="0.25">
      <c r="C22" s="158"/>
      <c r="D22" s="158"/>
      <c r="E22" s="158"/>
      <c r="F22" s="158"/>
      <c r="L22" s="55" t="s">
        <v>170</v>
      </c>
      <c r="M22" s="55" t="s">
        <v>171</v>
      </c>
      <c r="N22" s="55" t="s">
        <v>170</v>
      </c>
      <c r="O22" s="55" t="s">
        <v>171</v>
      </c>
      <c r="P22" s="55" t="s">
        <v>170</v>
      </c>
      <c r="Q22" s="55" t="s">
        <v>171</v>
      </c>
      <c r="R22" s="55" t="s">
        <v>170</v>
      </c>
      <c r="S22" s="55" t="s">
        <v>171</v>
      </c>
      <c r="T22" s="55" t="s">
        <v>170</v>
      </c>
      <c r="U22" s="55" t="s">
        <v>171</v>
      </c>
      <c r="V22" s="55" t="s">
        <v>170</v>
      </c>
      <c r="W22" s="55" t="s">
        <v>171</v>
      </c>
      <c r="X22" s="51"/>
    </row>
    <row r="23" spans="2:24" x14ac:dyDescent="0.25">
      <c r="C23" s="158"/>
      <c r="D23" s="158"/>
      <c r="E23" s="158"/>
      <c r="F23" s="158"/>
      <c r="L23" s="6"/>
      <c r="M23" s="6"/>
      <c r="N23" s="28"/>
      <c r="O23" s="6"/>
      <c r="P23" s="6"/>
      <c r="Q23" s="6"/>
      <c r="R23" s="6"/>
      <c r="S23" s="6"/>
      <c r="T23" s="6"/>
      <c r="U23" s="6"/>
      <c r="V23" s="6">
        <f>T23+R23+P23+N23+L23</f>
        <v>0</v>
      </c>
      <c r="W23" s="6">
        <f>U23+S23+Q23+O23+M23</f>
        <v>0</v>
      </c>
      <c r="X23" s="51"/>
    </row>
    <row r="24" spans="2:24" x14ac:dyDescent="0.25">
      <c r="C24" s="158"/>
      <c r="D24" s="158"/>
      <c r="E24" s="158"/>
      <c r="F24" s="158"/>
      <c r="L24" s="6"/>
      <c r="M24" s="6"/>
      <c r="N24" s="28"/>
      <c r="O24" s="6"/>
      <c r="P24" s="6"/>
      <c r="Q24" s="6"/>
      <c r="R24" s="6"/>
      <c r="S24" s="6"/>
      <c r="T24" s="6"/>
      <c r="U24" s="6"/>
      <c r="V24" s="6">
        <f t="shared" ref="V24:W34" si="1">T24+R24+P24+N24+L24</f>
        <v>0</v>
      </c>
      <c r="W24" s="6">
        <f t="shared" si="1"/>
        <v>0</v>
      </c>
      <c r="X24" s="51"/>
    </row>
    <row r="25" spans="2:24" x14ac:dyDescent="0.25">
      <c r="C25" s="158"/>
      <c r="D25" s="158"/>
      <c r="E25" s="158"/>
      <c r="F25" s="158"/>
      <c r="L25" s="6"/>
      <c r="M25" s="6"/>
      <c r="N25" s="28"/>
      <c r="O25" s="6"/>
      <c r="P25" s="6"/>
      <c r="Q25" s="6"/>
      <c r="R25" s="6"/>
      <c r="S25" s="6"/>
      <c r="T25" s="6"/>
      <c r="U25" s="6"/>
      <c r="V25" s="6">
        <f t="shared" si="1"/>
        <v>0</v>
      </c>
      <c r="W25" s="6">
        <f t="shared" si="1"/>
        <v>0</v>
      </c>
      <c r="X25" s="51"/>
    </row>
    <row r="26" spans="2:24" x14ac:dyDescent="0.25">
      <c r="C26" s="158"/>
      <c r="D26" s="158"/>
      <c r="E26" s="158"/>
      <c r="F26" s="158"/>
      <c r="L26" s="6"/>
      <c r="M26" s="6"/>
      <c r="N26" s="28"/>
      <c r="O26" s="6"/>
      <c r="P26" s="6"/>
      <c r="Q26" s="6"/>
      <c r="R26" s="6"/>
      <c r="S26" s="6"/>
      <c r="T26" s="6"/>
      <c r="U26" s="6"/>
      <c r="V26" s="6">
        <f t="shared" si="1"/>
        <v>0</v>
      </c>
      <c r="W26" s="6">
        <f t="shared" si="1"/>
        <v>0</v>
      </c>
      <c r="X26" s="51"/>
    </row>
    <row r="27" spans="2:24" x14ac:dyDescent="0.25">
      <c r="L27" s="6"/>
      <c r="M27" s="6"/>
      <c r="N27" s="28"/>
      <c r="O27" s="6"/>
      <c r="P27" s="6"/>
      <c r="Q27" s="6"/>
      <c r="R27" s="6"/>
      <c r="S27" s="6"/>
      <c r="T27" s="6"/>
      <c r="U27" s="6"/>
      <c r="V27" s="6">
        <f t="shared" si="1"/>
        <v>0</v>
      </c>
      <c r="W27" s="6">
        <f t="shared" si="1"/>
        <v>0</v>
      </c>
    </row>
    <row r="28" spans="2:24" x14ac:dyDescent="0.25">
      <c r="L28" s="6"/>
      <c r="M28" s="6"/>
      <c r="N28" s="28"/>
      <c r="O28" s="6"/>
      <c r="P28" s="6"/>
      <c r="Q28" s="6"/>
      <c r="R28" s="6"/>
      <c r="S28" s="6"/>
      <c r="T28" s="6"/>
      <c r="U28" s="6"/>
      <c r="V28" s="6">
        <f t="shared" si="1"/>
        <v>0</v>
      </c>
      <c r="W28" s="6">
        <f t="shared" si="1"/>
        <v>0</v>
      </c>
    </row>
    <row r="29" spans="2:24" x14ac:dyDescent="0.25">
      <c r="L29" s="6"/>
      <c r="M29" s="6"/>
      <c r="N29" s="28"/>
      <c r="O29" s="6"/>
      <c r="P29" s="6"/>
      <c r="Q29" s="6"/>
      <c r="R29" s="6"/>
      <c r="S29" s="6"/>
      <c r="T29" s="6"/>
      <c r="U29" s="6"/>
      <c r="V29" s="6">
        <f t="shared" si="1"/>
        <v>0</v>
      </c>
      <c r="W29" s="6">
        <f t="shared" si="1"/>
        <v>0</v>
      </c>
    </row>
    <row r="30" spans="2:24" x14ac:dyDescent="0.25">
      <c r="L30" s="6"/>
      <c r="M30" s="6"/>
      <c r="N30" s="28"/>
      <c r="O30" s="6"/>
      <c r="P30" s="6"/>
      <c r="Q30" s="6"/>
      <c r="R30" s="6"/>
      <c r="S30" s="6"/>
      <c r="T30" s="6"/>
      <c r="U30" s="6"/>
      <c r="V30" s="6">
        <f t="shared" si="1"/>
        <v>0</v>
      </c>
      <c r="W30" s="6">
        <f t="shared" si="1"/>
        <v>0</v>
      </c>
    </row>
    <row r="31" spans="2:24" x14ac:dyDescent="0.25">
      <c r="L31" s="6">
        <v>0</v>
      </c>
      <c r="M31" s="6"/>
      <c r="N31" s="28">
        <v>0</v>
      </c>
      <c r="O31" s="6"/>
      <c r="P31" s="6">
        <v>0</v>
      </c>
      <c r="Q31" s="6"/>
      <c r="R31" s="6">
        <v>0</v>
      </c>
      <c r="S31" s="6"/>
      <c r="T31" s="6">
        <v>0</v>
      </c>
      <c r="U31" s="6"/>
      <c r="V31" s="6">
        <f t="shared" si="1"/>
        <v>0</v>
      </c>
      <c r="W31" s="6">
        <f t="shared" si="1"/>
        <v>0</v>
      </c>
    </row>
    <row r="32" spans="2:24" x14ac:dyDescent="0.25">
      <c r="L32" s="6">
        <v>0</v>
      </c>
      <c r="M32" s="6"/>
      <c r="N32" s="28">
        <v>15</v>
      </c>
      <c r="O32" s="6"/>
      <c r="P32" s="6">
        <v>0</v>
      </c>
      <c r="Q32" s="6"/>
      <c r="R32" s="6">
        <v>0</v>
      </c>
      <c r="S32" s="6"/>
      <c r="T32" s="6">
        <v>15</v>
      </c>
      <c r="U32" s="6"/>
      <c r="V32" s="6">
        <f t="shared" si="1"/>
        <v>30</v>
      </c>
      <c r="W32" s="6">
        <f t="shared" si="1"/>
        <v>0</v>
      </c>
    </row>
    <row r="33" spans="12:23" x14ac:dyDescent="0.25">
      <c r="L33" s="6">
        <v>4</v>
      </c>
      <c r="M33" s="6">
        <v>1</v>
      </c>
      <c r="N33" s="28">
        <v>0</v>
      </c>
      <c r="O33" s="6"/>
      <c r="P33" s="6">
        <v>0</v>
      </c>
      <c r="Q33" s="6"/>
      <c r="R33" s="6">
        <v>0</v>
      </c>
      <c r="S33" s="6"/>
      <c r="T33" s="6">
        <v>1</v>
      </c>
      <c r="U33" s="6"/>
      <c r="V33" s="6">
        <f t="shared" si="1"/>
        <v>5</v>
      </c>
      <c r="W33" s="6">
        <f t="shared" si="1"/>
        <v>1</v>
      </c>
    </row>
    <row r="34" spans="12:23" x14ac:dyDescent="0.25">
      <c r="L34" s="6">
        <v>6</v>
      </c>
      <c r="M34" s="6"/>
      <c r="N34" s="28">
        <v>4</v>
      </c>
      <c r="O34" s="6"/>
      <c r="P34" s="6">
        <v>4</v>
      </c>
      <c r="Q34" s="6"/>
      <c r="R34" s="6">
        <v>3</v>
      </c>
      <c r="S34" s="6"/>
      <c r="T34" s="6">
        <v>4</v>
      </c>
      <c r="U34" s="6"/>
      <c r="V34" s="6">
        <f t="shared" si="1"/>
        <v>21</v>
      </c>
      <c r="W34" s="6">
        <f t="shared" si="1"/>
        <v>0</v>
      </c>
    </row>
  </sheetData>
  <mergeCells count="20">
    <mergeCell ref="H2:J2"/>
    <mergeCell ref="L2:S2"/>
    <mergeCell ref="U2:X2"/>
    <mergeCell ref="L3:L4"/>
    <mergeCell ref="M3:M4"/>
    <mergeCell ref="N3:N4"/>
    <mergeCell ref="O3:O4"/>
    <mergeCell ref="P3:P4"/>
    <mergeCell ref="Q3:Q4"/>
    <mergeCell ref="R3:R4"/>
    <mergeCell ref="S3:S4"/>
    <mergeCell ref="L12:V13"/>
    <mergeCell ref="H20:W20"/>
    <mergeCell ref="C21:F26"/>
    <mergeCell ref="L21:M21"/>
    <mergeCell ref="N21:O21"/>
    <mergeCell ref="P21:Q21"/>
    <mergeCell ref="R21:S21"/>
    <mergeCell ref="T21:U21"/>
    <mergeCell ref="V21:W2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2:X35"/>
  <sheetViews>
    <sheetView topLeftCell="A19" workbookViewId="0">
      <selection activeCell="H4" sqref="H4"/>
    </sheetView>
  </sheetViews>
  <sheetFormatPr baseColWidth="10" defaultRowHeight="15" x14ac:dyDescent="0.25"/>
  <cols>
    <col min="2" max="2" width="9.140625" bestFit="1" customWidth="1"/>
    <col min="3" max="3" width="6.28515625" bestFit="1" customWidth="1"/>
    <col min="4" max="4" width="7.7109375" bestFit="1" customWidth="1"/>
    <col min="5" max="5" width="6.42578125" bestFit="1" customWidth="1"/>
    <col min="6" max="6" width="5.5703125" bestFit="1" customWidth="1"/>
    <col min="7" max="7" width="5.85546875" bestFit="1" customWidth="1"/>
    <col min="8" max="8" width="26.5703125" bestFit="1" customWidth="1"/>
    <col min="9" max="9" width="12" bestFit="1" customWidth="1"/>
    <col min="10" max="10" width="6.85546875" bestFit="1" customWidth="1"/>
    <col min="11" max="11" width="11.28515625" bestFit="1" customWidth="1"/>
    <col min="12" max="12" width="10.42578125" bestFit="1" customWidth="1"/>
    <col min="13" max="14" width="10.7109375" bestFit="1" customWidth="1"/>
    <col min="15" max="15" width="9.85546875" bestFit="1" customWidth="1"/>
    <col min="16" max="16" width="4.85546875" bestFit="1" customWidth="1"/>
    <col min="17" max="17" width="10.7109375" bestFit="1" customWidth="1"/>
    <col min="18" max="18" width="21.42578125" bestFit="1" customWidth="1"/>
    <col min="19" max="19" width="18" bestFit="1" customWidth="1"/>
    <col min="20" max="20" width="4.85546875" bestFit="1" customWidth="1"/>
    <col min="21" max="21" width="10.28515625" bestFit="1" customWidth="1"/>
    <col min="22" max="22" width="10.85546875" bestFit="1" customWidth="1"/>
    <col min="24" max="24" width="10.140625" bestFit="1" customWidth="1"/>
  </cols>
  <sheetData>
    <row r="2" spans="2:24" x14ac:dyDescent="0.25">
      <c r="H2" s="157" t="s">
        <v>113</v>
      </c>
      <c r="I2" s="157"/>
      <c r="J2" s="157"/>
      <c r="L2" s="167" t="s">
        <v>114</v>
      </c>
      <c r="M2" s="168"/>
      <c r="N2" s="168"/>
      <c r="O2" s="168"/>
      <c r="P2" s="168"/>
      <c r="Q2" s="168"/>
      <c r="R2" s="168"/>
      <c r="S2" s="168"/>
      <c r="U2" s="167" t="s">
        <v>115</v>
      </c>
      <c r="V2" s="168"/>
      <c r="W2" s="168"/>
      <c r="X2" s="168"/>
    </row>
    <row r="3" spans="2:24" ht="45" x14ac:dyDescent="0.25">
      <c r="H3" s="2" t="s">
        <v>116</v>
      </c>
      <c r="I3" s="6" t="s">
        <v>117</v>
      </c>
      <c r="J3" s="6" t="s">
        <v>29</v>
      </c>
      <c r="L3" s="169" t="s">
        <v>172</v>
      </c>
      <c r="M3" s="169" t="s">
        <v>173</v>
      </c>
      <c r="N3" s="169" t="s">
        <v>119</v>
      </c>
      <c r="O3" s="169" t="s">
        <v>120</v>
      </c>
      <c r="P3" s="169" t="s">
        <v>29</v>
      </c>
      <c r="Q3" s="170" t="s">
        <v>121</v>
      </c>
      <c r="R3" s="170" t="s">
        <v>122</v>
      </c>
      <c r="S3" s="170" t="s">
        <v>123</v>
      </c>
      <c r="U3" s="2" t="s">
        <v>4</v>
      </c>
      <c r="V3" s="73" t="s">
        <v>124</v>
      </c>
      <c r="W3" s="60" t="s">
        <v>125</v>
      </c>
      <c r="X3" s="2" t="s">
        <v>3</v>
      </c>
    </row>
    <row r="4" spans="2:24" x14ac:dyDescent="0.25">
      <c r="H4" s="68" t="s">
        <v>129</v>
      </c>
      <c r="I4" s="2">
        <v>4.4979484931260449</v>
      </c>
      <c r="J4" s="6">
        <v>56</v>
      </c>
      <c r="L4" s="169"/>
      <c r="M4" s="169"/>
      <c r="N4" s="169"/>
      <c r="O4" s="169"/>
      <c r="P4" s="169"/>
      <c r="Q4" s="170"/>
      <c r="R4" s="170"/>
      <c r="S4" s="170"/>
      <c r="U4" s="2" t="s">
        <v>127</v>
      </c>
      <c r="V4" s="6">
        <v>16</v>
      </c>
      <c r="W4" s="6">
        <v>0</v>
      </c>
      <c r="X4" s="2" t="s">
        <v>128</v>
      </c>
    </row>
    <row r="5" spans="2:24" x14ac:dyDescent="0.25">
      <c r="H5" s="68" t="s">
        <v>126</v>
      </c>
      <c r="I5" s="2">
        <v>3.5935768162861534</v>
      </c>
      <c r="J5" s="6">
        <v>115</v>
      </c>
      <c r="L5" s="2" t="s">
        <v>138</v>
      </c>
      <c r="M5" s="4">
        <v>2.8161</v>
      </c>
      <c r="N5" s="74">
        <f>M5/10.439</f>
        <v>0.26976721908228757</v>
      </c>
      <c r="O5" s="75">
        <v>6507</v>
      </c>
      <c r="P5" s="7">
        <v>7</v>
      </c>
      <c r="Q5" s="66">
        <v>42844</v>
      </c>
      <c r="R5" s="2" t="s">
        <v>174</v>
      </c>
      <c r="S5" s="66">
        <v>43117</v>
      </c>
      <c r="U5" s="2" t="s">
        <v>131</v>
      </c>
      <c r="V5" s="6">
        <v>13</v>
      </c>
      <c r="W5" s="6">
        <v>0</v>
      </c>
      <c r="X5" s="2" t="s">
        <v>128</v>
      </c>
    </row>
    <row r="6" spans="2:24" ht="45" x14ac:dyDescent="0.25">
      <c r="H6" s="68" t="s">
        <v>175</v>
      </c>
      <c r="I6" s="2">
        <v>0.38772543156585243</v>
      </c>
      <c r="J6" s="6">
        <v>12</v>
      </c>
      <c r="L6" s="2" t="s">
        <v>127</v>
      </c>
      <c r="M6" s="4">
        <v>0.74350000000000005</v>
      </c>
      <c r="N6" s="74">
        <f t="shared" ref="N6:N9" si="0">M6/10.439</f>
        <v>7.1223297250694512E-2</v>
      </c>
      <c r="O6" s="75">
        <v>1096</v>
      </c>
      <c r="P6" s="7">
        <v>16</v>
      </c>
      <c r="Q6" s="67">
        <v>42845</v>
      </c>
      <c r="R6" s="68" t="s">
        <v>176</v>
      </c>
      <c r="S6" s="6"/>
      <c r="U6" s="2" t="s">
        <v>177</v>
      </c>
      <c r="V6" s="6">
        <v>9</v>
      </c>
      <c r="W6" s="6">
        <v>1</v>
      </c>
      <c r="X6" s="2" t="s">
        <v>169</v>
      </c>
    </row>
    <row r="7" spans="2:24" ht="45" x14ac:dyDescent="0.25">
      <c r="H7" s="68" t="s">
        <v>178</v>
      </c>
      <c r="I7" s="2">
        <v>0.33356377657122943</v>
      </c>
      <c r="J7" s="6">
        <v>7</v>
      </c>
      <c r="L7" s="2" t="s">
        <v>130</v>
      </c>
      <c r="M7" s="4">
        <v>0.44519999999999998</v>
      </c>
      <c r="N7" s="74">
        <f t="shared" si="0"/>
        <v>4.2647763195708399E-2</v>
      </c>
      <c r="O7" s="7">
        <v>600</v>
      </c>
      <c r="P7" s="7">
        <v>8</v>
      </c>
      <c r="Q7" s="76"/>
      <c r="R7" s="77"/>
      <c r="S7" s="66">
        <v>43160</v>
      </c>
      <c r="U7" s="2" t="s">
        <v>130</v>
      </c>
      <c r="V7" s="6">
        <v>8</v>
      </c>
      <c r="W7" s="6">
        <v>0</v>
      </c>
      <c r="X7" s="2" t="s">
        <v>128</v>
      </c>
    </row>
    <row r="8" spans="2:24" ht="60" x14ac:dyDescent="0.25">
      <c r="H8" s="68" t="s">
        <v>179</v>
      </c>
      <c r="I8" s="2">
        <v>0.3005504408397876</v>
      </c>
      <c r="J8" s="6">
        <v>2</v>
      </c>
      <c r="L8" s="2" t="s">
        <v>131</v>
      </c>
      <c r="M8" s="4">
        <v>0.40410000000000001</v>
      </c>
      <c r="N8" s="74">
        <f t="shared" si="0"/>
        <v>3.8710604464029123E-2</v>
      </c>
      <c r="O8" s="7">
        <v>471</v>
      </c>
      <c r="P8" s="7">
        <v>13</v>
      </c>
      <c r="Q8" s="67">
        <v>42845</v>
      </c>
      <c r="R8" s="68" t="s">
        <v>137</v>
      </c>
      <c r="S8" s="6"/>
      <c r="U8" s="2" t="s">
        <v>180</v>
      </c>
      <c r="V8" s="6">
        <v>8</v>
      </c>
      <c r="W8" s="6">
        <v>0</v>
      </c>
      <c r="X8" s="2" t="s">
        <v>128</v>
      </c>
    </row>
    <row r="9" spans="2:24" ht="45" x14ac:dyDescent="0.25">
      <c r="H9" s="68" t="s">
        <v>144</v>
      </c>
      <c r="I9" s="2">
        <f>SUM(I4:I8)</f>
        <v>9.1133649583890683</v>
      </c>
      <c r="J9" s="2">
        <f>SUM(J4:J8)</f>
        <v>192</v>
      </c>
      <c r="L9" s="2" t="s">
        <v>180</v>
      </c>
      <c r="M9" s="4">
        <v>0.3851</v>
      </c>
      <c r="N9" s="74">
        <f t="shared" si="0"/>
        <v>3.6890506753520451E-2</v>
      </c>
      <c r="O9" s="7">
        <v>665</v>
      </c>
      <c r="P9" s="7">
        <v>8</v>
      </c>
      <c r="Q9" s="67">
        <v>42845</v>
      </c>
      <c r="R9" s="68" t="s">
        <v>181</v>
      </c>
      <c r="S9" s="6"/>
      <c r="U9" s="2" t="s">
        <v>182</v>
      </c>
      <c r="V9" s="6">
        <v>8</v>
      </c>
      <c r="W9" s="6">
        <v>0</v>
      </c>
      <c r="X9" s="2" t="s">
        <v>169</v>
      </c>
    </row>
    <row r="10" spans="2:24" x14ac:dyDescent="0.25">
      <c r="L10" s="2" t="s">
        <v>144</v>
      </c>
      <c r="M10" s="2">
        <f>SUM(M5:M9)</f>
        <v>4.7940000000000005</v>
      </c>
      <c r="N10" s="2" t="s">
        <v>145</v>
      </c>
      <c r="O10" s="75">
        <f>SUM(O5:O9)</f>
        <v>9339</v>
      </c>
      <c r="P10" s="6">
        <f>SUM(P5:P9)</f>
        <v>52</v>
      </c>
      <c r="Q10" s="2"/>
      <c r="R10" s="53"/>
      <c r="S10" s="53"/>
      <c r="T10" s="70"/>
    </row>
    <row r="11" spans="2:24" x14ac:dyDescent="0.25">
      <c r="H11" t="s">
        <v>146</v>
      </c>
      <c r="R11" s="71"/>
      <c r="S11" s="71"/>
      <c r="T11" s="71"/>
    </row>
    <row r="12" spans="2:24" x14ac:dyDescent="0.25">
      <c r="H12" t="s">
        <v>183</v>
      </c>
      <c r="L12" s="156" t="s">
        <v>184</v>
      </c>
      <c r="M12" s="156"/>
      <c r="N12" s="156"/>
      <c r="O12" s="156"/>
      <c r="P12" s="156"/>
      <c r="Q12" s="156"/>
      <c r="R12" s="156"/>
      <c r="S12" s="156"/>
      <c r="T12" s="156"/>
      <c r="U12" s="156"/>
      <c r="V12" s="156"/>
      <c r="W12" s="156"/>
    </row>
    <row r="13" spans="2:24" x14ac:dyDescent="0.25">
      <c r="L13" s="156"/>
      <c r="M13" s="156"/>
      <c r="N13" s="156"/>
      <c r="O13" s="156"/>
      <c r="P13" s="156"/>
      <c r="Q13" s="156"/>
      <c r="R13" s="156"/>
      <c r="S13" s="156"/>
      <c r="T13" s="156"/>
      <c r="U13" s="156"/>
      <c r="V13" s="156"/>
      <c r="W13" s="156"/>
    </row>
    <row r="14" spans="2:24" x14ac:dyDescent="0.25">
      <c r="L14" s="156"/>
      <c r="M14" s="156"/>
      <c r="N14" s="156"/>
      <c r="O14" s="156"/>
      <c r="P14" s="156"/>
      <c r="Q14" s="156"/>
      <c r="R14" s="156"/>
      <c r="S14" s="156"/>
      <c r="T14" s="156"/>
      <c r="U14" s="156"/>
      <c r="V14" s="156"/>
      <c r="W14" s="156"/>
    </row>
    <row r="15" spans="2:24" x14ac:dyDescent="0.25">
      <c r="R15" s="71"/>
      <c r="S15" s="71"/>
      <c r="T15" s="71"/>
    </row>
    <row r="16" spans="2:24" x14ac:dyDescent="0.25">
      <c r="B16" s="77" t="s">
        <v>149</v>
      </c>
      <c r="C16" s="77" t="s">
        <v>150</v>
      </c>
      <c r="D16" s="77" t="s">
        <v>151</v>
      </c>
      <c r="E16" s="77" t="s">
        <v>152</v>
      </c>
      <c r="F16" s="77" t="s">
        <v>153</v>
      </c>
      <c r="G16" s="77" t="s">
        <v>154</v>
      </c>
      <c r="H16" s="77" t="s">
        <v>155</v>
      </c>
      <c r="I16" s="77" t="s">
        <v>156</v>
      </c>
      <c r="J16" s="77" t="s">
        <v>157</v>
      </c>
      <c r="K16" s="77" t="s">
        <v>158</v>
      </c>
      <c r="L16" s="77" t="s">
        <v>159</v>
      </c>
      <c r="M16" s="77" t="s">
        <v>160</v>
      </c>
      <c r="N16" s="77" t="s">
        <v>161</v>
      </c>
      <c r="R16" s="71"/>
      <c r="S16" s="71"/>
      <c r="T16" s="71"/>
    </row>
    <row r="17" spans="2:24" x14ac:dyDescent="0.25">
      <c r="B17" s="2" t="s">
        <v>162</v>
      </c>
      <c r="C17" s="78">
        <v>1.17</v>
      </c>
      <c r="D17" s="78">
        <f>C17+'[1]saidi Mensual'!D16</f>
        <v>1.91</v>
      </c>
      <c r="E17" s="78">
        <f>D17+'[1]saidi Mensual'!E16</f>
        <v>3.63</v>
      </c>
      <c r="F17" s="78">
        <f>E17+'[1]saidi Mensual'!F16</f>
        <v>10.57</v>
      </c>
      <c r="G17" s="78">
        <f>F17+'[1]saidi Mensual'!G16</f>
        <v>16</v>
      </c>
      <c r="H17" s="78">
        <f>G17+'[1]saidi Mensual'!H16</f>
        <v>18.66</v>
      </c>
      <c r="I17" s="78">
        <f>H17+'[1]saidi Mensual'!I16</f>
        <v>20.57</v>
      </c>
      <c r="J17" s="78">
        <f>I17+'[1]saidi Mensual'!J16</f>
        <v>26.03</v>
      </c>
      <c r="K17" s="78">
        <f>J17+'[1]saidi Mensual'!K16</f>
        <v>28.490000000000002</v>
      </c>
      <c r="L17" s="78">
        <f>K17+'[1]saidi Mensual'!L16</f>
        <v>32.47</v>
      </c>
      <c r="M17" s="78">
        <f>L17+'[1]saidi Mensual'!M16</f>
        <v>34.44</v>
      </c>
      <c r="N17" s="78">
        <f>M17+'[1]saidi Mensual'!N16</f>
        <v>35.47</v>
      </c>
      <c r="R17" s="71"/>
      <c r="S17" s="71"/>
      <c r="T17" s="71"/>
    </row>
    <row r="18" spans="2:24" x14ac:dyDescent="0.25">
      <c r="B18" s="2" t="s">
        <v>163</v>
      </c>
      <c r="C18" s="78">
        <v>1.1200000000000001</v>
      </c>
      <c r="D18" s="78">
        <f>C18+'[1]saidi Mensual'!D17</f>
        <v>1.82</v>
      </c>
      <c r="E18" s="78">
        <f>D18+'[1]saidi Mensual'!E17</f>
        <v>3.45</v>
      </c>
      <c r="F18" s="78">
        <f>E18+'[1]saidi Mensual'!F17</f>
        <v>10.02</v>
      </c>
      <c r="G18" s="78">
        <f>F18+'[1]saidi Mensual'!G17</f>
        <v>15.14</v>
      </c>
      <c r="H18" s="78">
        <f>G18+'[1]saidi Mensual'!H17</f>
        <v>17.62</v>
      </c>
      <c r="I18" s="78">
        <f>H18+'[1]saidi Mensual'!I17</f>
        <v>19.400000000000002</v>
      </c>
      <c r="J18" s="78">
        <f>I18+'[1]saidi Mensual'!J17</f>
        <v>24.53</v>
      </c>
      <c r="K18" s="78">
        <f>J18+'[1]saidi Mensual'!K17</f>
        <v>26.86</v>
      </c>
      <c r="L18" s="78">
        <f>K18+'[1]saidi Mensual'!L17</f>
        <v>30.57</v>
      </c>
      <c r="M18" s="78">
        <f>L18+'[1]saidi Mensual'!M17</f>
        <v>32.42</v>
      </c>
      <c r="N18" s="78">
        <f>M18+'[1]saidi Mensual'!N17</f>
        <v>34.92</v>
      </c>
      <c r="R18" s="71"/>
      <c r="S18" s="71"/>
      <c r="T18" s="71"/>
    </row>
    <row r="19" spans="2:24" x14ac:dyDescent="0.25">
      <c r="B19" s="2" t="s">
        <v>164</v>
      </c>
      <c r="C19" s="78">
        <v>3.58</v>
      </c>
      <c r="D19" s="78">
        <f>C19+'[1]saidi Mensual'!D18</f>
        <v>4.18</v>
      </c>
      <c r="E19" s="78">
        <f>D19+'[1]saidi Mensual'!E18</f>
        <v>6.0299999999999994</v>
      </c>
      <c r="F19" s="78">
        <f>E19+'[1]saidi Mensual'!F18</f>
        <v>7.35</v>
      </c>
      <c r="G19" s="78">
        <f>F19+'[1]saidi Mensual'!G18</f>
        <v>10.7</v>
      </c>
      <c r="H19" s="78"/>
      <c r="I19" s="78"/>
      <c r="J19" s="78"/>
      <c r="K19" s="78"/>
      <c r="L19" s="78"/>
      <c r="M19" s="78"/>
      <c r="N19" s="78"/>
    </row>
    <row r="20" spans="2:24" x14ac:dyDescent="0.25">
      <c r="U20" s="72"/>
      <c r="V20" s="72"/>
      <c r="W20" s="72"/>
      <c r="X20" s="72"/>
    </row>
    <row r="21" spans="2:24" x14ac:dyDescent="0.25">
      <c r="G21" s="157" t="s">
        <v>165</v>
      </c>
      <c r="H21" s="157"/>
      <c r="I21" s="157"/>
      <c r="J21" s="157"/>
      <c r="K21" s="157"/>
      <c r="L21" s="157"/>
      <c r="M21" s="157"/>
      <c r="N21" s="157"/>
      <c r="O21" s="157"/>
      <c r="P21" s="157"/>
      <c r="Q21" s="157"/>
      <c r="R21" s="157"/>
      <c r="S21" s="157"/>
      <c r="T21" s="157"/>
      <c r="U21" s="157"/>
      <c r="V21" s="157"/>
      <c r="W21" s="157"/>
      <c r="X21" s="157"/>
    </row>
    <row r="22" spans="2:24" x14ac:dyDescent="0.25">
      <c r="B22" s="163" t="s">
        <v>185</v>
      </c>
      <c r="C22" s="163"/>
      <c r="D22" s="163"/>
      <c r="E22" s="163"/>
      <c r="F22" s="72"/>
      <c r="M22" s="164" t="s">
        <v>167</v>
      </c>
      <c r="N22" s="164"/>
      <c r="O22" s="165" t="s">
        <v>139</v>
      </c>
      <c r="P22" s="166"/>
      <c r="Q22" s="165" t="s">
        <v>168</v>
      </c>
      <c r="R22" s="166"/>
      <c r="S22" s="164" t="s">
        <v>169</v>
      </c>
      <c r="T22" s="164"/>
      <c r="U22" s="164" t="s">
        <v>128</v>
      </c>
      <c r="V22" s="164"/>
      <c r="W22" s="164" t="s">
        <v>1</v>
      </c>
      <c r="X22" s="164"/>
    </row>
    <row r="23" spans="2:24" x14ac:dyDescent="0.25">
      <c r="B23" s="163"/>
      <c r="C23" s="163"/>
      <c r="D23" s="163"/>
      <c r="E23" s="163"/>
      <c r="F23" s="72"/>
      <c r="M23" s="55" t="s">
        <v>170</v>
      </c>
      <c r="N23" s="55" t="s">
        <v>171</v>
      </c>
      <c r="O23" s="55" t="s">
        <v>170</v>
      </c>
      <c r="P23" s="55" t="s">
        <v>171</v>
      </c>
      <c r="Q23" s="55" t="s">
        <v>170</v>
      </c>
      <c r="R23" s="55" t="s">
        <v>171</v>
      </c>
      <c r="S23" s="55" t="s">
        <v>170</v>
      </c>
      <c r="T23" s="55" t="s">
        <v>171</v>
      </c>
      <c r="U23" s="55" t="s">
        <v>170</v>
      </c>
      <c r="V23" s="55" t="s">
        <v>171</v>
      </c>
      <c r="W23" s="55" t="s">
        <v>170</v>
      </c>
      <c r="X23" s="55" t="s">
        <v>171</v>
      </c>
    </row>
    <row r="24" spans="2:24" x14ac:dyDescent="0.25">
      <c r="B24" s="163"/>
      <c r="C24" s="163"/>
      <c r="D24" s="163"/>
      <c r="E24" s="163"/>
      <c r="F24" s="72"/>
      <c r="M24" s="6"/>
      <c r="N24" s="6"/>
      <c r="O24" s="28"/>
      <c r="P24" s="6"/>
      <c r="Q24" s="6"/>
      <c r="R24" s="6"/>
      <c r="S24" s="6"/>
      <c r="T24" s="6"/>
      <c r="U24" s="6"/>
      <c r="V24" s="6"/>
      <c r="W24" s="6">
        <f>U24+S24+Q24+O24+M24</f>
        <v>0</v>
      </c>
      <c r="X24" s="6">
        <f>V24+T24+R24+P24+N24</f>
        <v>0</v>
      </c>
    </row>
    <row r="25" spans="2:24" x14ac:dyDescent="0.25">
      <c r="B25" s="163"/>
      <c r="C25" s="163"/>
      <c r="D25" s="163"/>
      <c r="E25" s="163"/>
      <c r="F25" s="72"/>
      <c r="M25" s="6"/>
      <c r="N25" s="6"/>
      <c r="O25" s="28"/>
      <c r="P25" s="6"/>
      <c r="Q25" s="6"/>
      <c r="R25" s="6"/>
      <c r="S25" s="6"/>
      <c r="T25" s="6"/>
      <c r="U25" s="6"/>
      <c r="V25" s="6"/>
      <c r="W25" s="6">
        <f t="shared" ref="W25:X35" si="1">U25+S25+Q25+O25+M25</f>
        <v>0</v>
      </c>
      <c r="X25" s="6">
        <f t="shared" si="1"/>
        <v>0</v>
      </c>
    </row>
    <row r="26" spans="2:24" x14ac:dyDescent="0.25">
      <c r="B26" s="163"/>
      <c r="C26" s="163"/>
      <c r="D26" s="163"/>
      <c r="E26" s="163"/>
      <c r="M26" s="6"/>
      <c r="N26" s="6"/>
      <c r="O26" s="28"/>
      <c r="P26" s="6"/>
      <c r="Q26" s="6"/>
      <c r="R26" s="6"/>
      <c r="S26" s="6"/>
      <c r="T26" s="6"/>
      <c r="U26" s="6"/>
      <c r="V26" s="6"/>
      <c r="W26" s="6">
        <f t="shared" si="1"/>
        <v>0</v>
      </c>
      <c r="X26" s="6">
        <f t="shared" si="1"/>
        <v>0</v>
      </c>
    </row>
    <row r="27" spans="2:24" x14ac:dyDescent="0.25">
      <c r="B27" s="163"/>
      <c r="C27" s="163"/>
      <c r="D27" s="163"/>
      <c r="E27" s="163"/>
      <c r="M27" s="6"/>
      <c r="N27" s="6"/>
      <c r="O27" s="28"/>
      <c r="P27" s="6"/>
      <c r="Q27" s="6"/>
      <c r="R27" s="6"/>
      <c r="S27" s="6"/>
      <c r="T27" s="6"/>
      <c r="U27" s="6"/>
      <c r="V27" s="6"/>
      <c r="W27" s="6">
        <f t="shared" si="1"/>
        <v>0</v>
      </c>
      <c r="X27" s="6">
        <f t="shared" si="1"/>
        <v>0</v>
      </c>
    </row>
    <row r="28" spans="2:24" x14ac:dyDescent="0.25">
      <c r="B28" s="163"/>
      <c r="C28" s="163"/>
      <c r="D28" s="163"/>
      <c r="E28" s="163"/>
      <c r="M28" s="6"/>
      <c r="N28" s="6"/>
      <c r="O28" s="28"/>
      <c r="P28" s="6"/>
      <c r="Q28" s="6"/>
      <c r="R28" s="6"/>
      <c r="S28" s="6"/>
      <c r="T28" s="6"/>
      <c r="U28" s="6"/>
      <c r="V28" s="6"/>
      <c r="W28" s="6">
        <f t="shared" si="1"/>
        <v>0</v>
      </c>
      <c r="X28" s="6">
        <f t="shared" si="1"/>
        <v>0</v>
      </c>
    </row>
    <row r="29" spans="2:24" x14ac:dyDescent="0.25">
      <c r="M29" s="6"/>
      <c r="N29" s="6"/>
      <c r="O29" s="28"/>
      <c r="P29" s="6"/>
      <c r="Q29" s="6"/>
      <c r="R29" s="6"/>
      <c r="S29" s="6"/>
      <c r="T29" s="6"/>
      <c r="U29" s="6"/>
      <c r="V29" s="6"/>
      <c r="W29" s="6">
        <f t="shared" si="1"/>
        <v>0</v>
      </c>
      <c r="X29" s="6">
        <f t="shared" si="1"/>
        <v>0</v>
      </c>
    </row>
    <row r="30" spans="2:24" x14ac:dyDescent="0.25">
      <c r="M30" s="6"/>
      <c r="N30" s="6"/>
      <c r="O30" s="28"/>
      <c r="P30" s="6"/>
      <c r="Q30" s="6"/>
      <c r="R30" s="6"/>
      <c r="S30" s="6"/>
      <c r="T30" s="6"/>
      <c r="U30" s="6"/>
      <c r="V30" s="6"/>
      <c r="W30" s="6">
        <f t="shared" si="1"/>
        <v>0</v>
      </c>
      <c r="X30" s="6">
        <f t="shared" si="1"/>
        <v>0</v>
      </c>
    </row>
    <row r="31" spans="2:24" x14ac:dyDescent="0.25">
      <c r="M31" s="6"/>
      <c r="N31" s="6"/>
      <c r="O31" s="28"/>
      <c r="P31" s="6"/>
      <c r="Q31" s="6"/>
      <c r="R31" s="6"/>
      <c r="S31" s="6"/>
      <c r="T31" s="6"/>
      <c r="U31" s="6"/>
      <c r="V31" s="6"/>
      <c r="W31" s="6">
        <f t="shared" si="1"/>
        <v>0</v>
      </c>
      <c r="X31" s="6">
        <f t="shared" si="1"/>
        <v>0</v>
      </c>
    </row>
    <row r="32" spans="2:24" x14ac:dyDescent="0.25">
      <c r="M32" s="6">
        <v>0</v>
      </c>
      <c r="N32" s="6"/>
      <c r="O32" s="28">
        <v>0</v>
      </c>
      <c r="P32" s="6"/>
      <c r="Q32" s="6">
        <v>0</v>
      </c>
      <c r="R32" s="6"/>
      <c r="S32" s="6">
        <v>0</v>
      </c>
      <c r="T32" s="6"/>
      <c r="U32" s="6">
        <v>0</v>
      </c>
      <c r="V32" s="6"/>
      <c r="W32" s="6">
        <f t="shared" si="1"/>
        <v>0</v>
      </c>
      <c r="X32" s="6">
        <f t="shared" si="1"/>
        <v>0</v>
      </c>
    </row>
    <row r="33" spans="13:24" x14ac:dyDescent="0.25">
      <c r="M33" s="6">
        <v>0</v>
      </c>
      <c r="N33" s="6"/>
      <c r="O33" s="28">
        <v>15</v>
      </c>
      <c r="P33" s="6"/>
      <c r="Q33" s="6">
        <v>0</v>
      </c>
      <c r="R33" s="6"/>
      <c r="S33" s="6">
        <v>0</v>
      </c>
      <c r="T33" s="6"/>
      <c r="U33" s="6">
        <v>15</v>
      </c>
      <c r="V33" s="6"/>
      <c r="W33" s="6">
        <f t="shared" si="1"/>
        <v>30</v>
      </c>
      <c r="X33" s="6">
        <f t="shared" si="1"/>
        <v>0</v>
      </c>
    </row>
    <row r="34" spans="13:24" x14ac:dyDescent="0.25">
      <c r="M34" s="6">
        <v>4</v>
      </c>
      <c r="N34" s="6">
        <v>1</v>
      </c>
      <c r="O34" s="28">
        <v>0</v>
      </c>
      <c r="P34" s="6"/>
      <c r="Q34" s="6">
        <v>0</v>
      </c>
      <c r="R34" s="6"/>
      <c r="S34" s="6">
        <v>0</v>
      </c>
      <c r="T34" s="6"/>
      <c r="U34" s="6">
        <v>1</v>
      </c>
      <c r="V34" s="6"/>
      <c r="W34" s="6">
        <f t="shared" si="1"/>
        <v>5</v>
      </c>
      <c r="X34" s="6">
        <f t="shared" si="1"/>
        <v>1</v>
      </c>
    </row>
    <row r="35" spans="13:24" x14ac:dyDescent="0.25">
      <c r="M35" s="6">
        <v>6</v>
      </c>
      <c r="N35" s="6"/>
      <c r="O35" s="28">
        <v>4</v>
      </c>
      <c r="P35" s="6"/>
      <c r="Q35" s="6">
        <v>4</v>
      </c>
      <c r="R35" s="6"/>
      <c r="S35" s="6">
        <v>3</v>
      </c>
      <c r="T35" s="6"/>
      <c r="U35" s="6">
        <v>4</v>
      </c>
      <c r="V35" s="6"/>
      <c r="W35" s="6">
        <f t="shared" si="1"/>
        <v>21</v>
      </c>
      <c r="X35" s="6">
        <f t="shared" si="1"/>
        <v>0</v>
      </c>
    </row>
  </sheetData>
  <mergeCells count="20">
    <mergeCell ref="H2:J2"/>
    <mergeCell ref="L2:S2"/>
    <mergeCell ref="U2:X2"/>
    <mergeCell ref="L3:L4"/>
    <mergeCell ref="M3:M4"/>
    <mergeCell ref="N3:N4"/>
    <mergeCell ref="O3:O4"/>
    <mergeCell ref="P3:P4"/>
    <mergeCell ref="Q3:Q4"/>
    <mergeCell ref="R3:R4"/>
    <mergeCell ref="S3:S4"/>
    <mergeCell ref="L12:W14"/>
    <mergeCell ref="G21:X21"/>
    <mergeCell ref="B22:E28"/>
    <mergeCell ref="M22:N22"/>
    <mergeCell ref="O22:P22"/>
    <mergeCell ref="Q22:R22"/>
    <mergeCell ref="S22:T22"/>
    <mergeCell ref="U22:V22"/>
    <mergeCell ref="W22:X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2:O139"/>
  <sheetViews>
    <sheetView tabSelected="1" topLeftCell="A28" workbookViewId="0">
      <selection activeCell="A120" sqref="A120:B120"/>
    </sheetView>
  </sheetViews>
  <sheetFormatPr baseColWidth="10" defaultRowHeight="15" x14ac:dyDescent="0.25"/>
  <cols>
    <col min="1" max="1" width="12.140625" bestFit="1" customWidth="1"/>
    <col min="3" max="3" width="11.85546875" bestFit="1" customWidth="1"/>
    <col min="4" max="4" width="13" bestFit="1" customWidth="1"/>
    <col min="5" max="7" width="11.85546875" bestFit="1" customWidth="1"/>
  </cols>
  <sheetData>
    <row r="2" spans="1:15" ht="18.75" x14ac:dyDescent="0.3">
      <c r="A2" s="176" t="s">
        <v>34</v>
      </c>
      <c r="B2" s="176"/>
    </row>
    <row r="3" spans="1:15" ht="30" x14ac:dyDescent="0.25">
      <c r="A3" s="38" t="s">
        <v>89</v>
      </c>
      <c r="B3" s="39"/>
      <c r="C3" s="40" t="s">
        <v>90</v>
      </c>
      <c r="D3" s="41" t="s">
        <v>91</v>
      </c>
      <c r="E3" s="41" t="s">
        <v>92</v>
      </c>
      <c r="F3" s="41" t="s">
        <v>93</v>
      </c>
      <c r="G3" s="41" t="s">
        <v>94</v>
      </c>
      <c r="H3" s="41" t="s">
        <v>95</v>
      </c>
      <c r="I3" s="41" t="s">
        <v>96</v>
      </c>
      <c r="J3" s="41" t="s">
        <v>97</v>
      </c>
      <c r="K3" s="41" t="s">
        <v>98</v>
      </c>
      <c r="L3" s="41" t="s">
        <v>99</v>
      </c>
      <c r="M3" s="41" t="s">
        <v>100</v>
      </c>
      <c r="N3" s="42" t="s">
        <v>101</v>
      </c>
      <c r="O3" s="40" t="s">
        <v>102</v>
      </c>
    </row>
    <row r="4" spans="1:15" x14ac:dyDescent="0.25">
      <c r="A4" s="177" t="s">
        <v>1062</v>
      </c>
      <c r="B4" s="43" t="s">
        <v>103</v>
      </c>
      <c r="C4" s="44">
        <v>0.14000000000000001</v>
      </c>
      <c r="D4" s="45">
        <v>0.13800000000000001</v>
      </c>
      <c r="E4" s="45">
        <v>0.28899999999999998</v>
      </c>
      <c r="F4" s="45">
        <v>1.7170000000000001</v>
      </c>
      <c r="G4" s="45">
        <v>1.018</v>
      </c>
      <c r="H4" s="45">
        <v>0.65300000000000002</v>
      </c>
      <c r="I4" s="45">
        <v>0.39400000000000002</v>
      </c>
      <c r="J4" s="45">
        <v>1.3580000000000001</v>
      </c>
      <c r="K4" s="45">
        <v>0.433</v>
      </c>
      <c r="L4" s="45">
        <v>0.76500000000000001</v>
      </c>
      <c r="M4" s="45">
        <v>0.47399999999999998</v>
      </c>
      <c r="N4" s="45">
        <v>0.59799999999999998</v>
      </c>
      <c r="O4" s="18">
        <f>SUM(C4:N4)</f>
        <v>7.9769999999999985</v>
      </c>
    </row>
    <row r="5" spans="1:15" x14ac:dyDescent="0.25">
      <c r="A5" s="178"/>
      <c r="B5" s="43" t="s">
        <v>104</v>
      </c>
      <c r="C5" s="46">
        <f>GETPIVOTDATA("SAIDI",'CONFIABILIDAD MENSUAL 2018'!$A$3,"Mes","ENERO","Area","AREA FORANEA")</f>
        <v>0.31717420384671591</v>
      </c>
      <c r="D5" s="46">
        <f>GETPIVOTDATA("SAIDI",'CONFIABILIDAD MENSUAL 2018'!$A$3,"Mes","FEBRERO","Area","AREA FORANEA")</f>
        <v>0.26679519029365589</v>
      </c>
      <c r="E5" s="46">
        <f>GETPIVOTDATA("SAIDI",'CONFIABILIDAD MENSUAL 2018'!$A$3,"Mes","MARZO","Area","AREA FORANEA")</f>
        <v>0.50590346863911084</v>
      </c>
      <c r="F5" s="47">
        <f>GETPIVOTDATA("SAIDI",'CONFIABILIDAD MENSUAL 2018'!$A$3,"Mes","ABRIL","Area","AREA FORANEA")</f>
        <v>0.47663905094856429</v>
      </c>
      <c r="G5" s="46">
        <f>GETPIVOTDATA("SAIDI",'CONFIABILIDAD MENSUAL 2018'!$A$3,"Mes","MAYO","Area","AREA FORANEA")</f>
        <v>1.3655710308494178</v>
      </c>
      <c r="H5" s="47"/>
      <c r="I5" s="47"/>
      <c r="J5" s="47"/>
      <c r="K5" s="47"/>
      <c r="L5" s="47"/>
      <c r="M5" s="47"/>
      <c r="N5" s="47"/>
      <c r="O5" s="18">
        <f>SUM(C5:N5)</f>
        <v>2.9320829445774645</v>
      </c>
    </row>
    <row r="6" spans="1:15" x14ac:dyDescent="0.25">
      <c r="A6" s="177" t="s">
        <v>1063</v>
      </c>
      <c r="B6" s="43" t="s">
        <v>103</v>
      </c>
      <c r="C6" s="45">
        <v>0.53400000000000003</v>
      </c>
      <c r="D6" s="45">
        <v>0.13500000000000001</v>
      </c>
      <c r="E6" s="45">
        <v>0.60699999999999998</v>
      </c>
      <c r="F6" s="45">
        <v>1.6439999999999999</v>
      </c>
      <c r="G6" s="45">
        <v>1.097</v>
      </c>
      <c r="H6" s="45">
        <v>0.64600000000000002</v>
      </c>
      <c r="I6" s="45">
        <v>0.35599999999999998</v>
      </c>
      <c r="J6" s="45">
        <v>1.4750000000000001</v>
      </c>
      <c r="K6" s="45">
        <v>0.498</v>
      </c>
      <c r="L6" s="45">
        <v>0.76500000000000001</v>
      </c>
      <c r="M6" s="45">
        <v>0.49099999999999999</v>
      </c>
      <c r="N6" s="45">
        <v>0.58199999999999996</v>
      </c>
      <c r="O6" s="18">
        <f t="shared" ref="O6:O21" si="0">SUM(C6:N6)</f>
        <v>8.83</v>
      </c>
    </row>
    <row r="7" spans="1:15" x14ac:dyDescent="0.25">
      <c r="A7" s="178"/>
      <c r="B7" s="43" t="s">
        <v>104</v>
      </c>
      <c r="C7" s="47">
        <f>GETPIVOTDATA("SAIDI",'CONFIABILIDAD MENSUAL 2018'!$A$3,"Mes","ENERO","Area","AREA URBANA")</f>
        <v>0.31752642603146769</v>
      </c>
      <c r="D7" s="47">
        <f>GETPIVOTDATA("SAIDI",'CONFIABILIDAD MENSUAL 2018'!$A$3,"Mes","FEBRERO","Area","AREA URBANA")</f>
        <v>0.1117556027683165</v>
      </c>
      <c r="E7" s="46">
        <f>GETPIVOTDATA("SAIDI",'CONFIABILIDAD MENSUAL 2018'!$A$3,"Mes","MARZO","Area","AREA URBANA")</f>
        <v>0.65645971739790243</v>
      </c>
      <c r="F7" s="47">
        <f>GETPIVOTDATA("SAIDI",'CONFIABILIDAD MENSUAL 2018'!$A$3,"Mes","ABRIL","Area","AREA URBANA")</f>
        <v>0.46831499155041462</v>
      </c>
      <c r="G7" s="47">
        <f>GETPIVOTDATA("SAIDI",'CONFIABILIDAD MENSUAL 2018'!$A$3,"Mes","MAYO","Area","AREA URBANA")</f>
        <v>1.0218846135110931</v>
      </c>
      <c r="H7" s="47"/>
      <c r="I7" s="47"/>
      <c r="J7" s="47"/>
      <c r="K7" s="47"/>
      <c r="L7" s="47"/>
      <c r="M7" s="47"/>
      <c r="N7" s="47"/>
      <c r="O7" s="18">
        <f t="shared" si="0"/>
        <v>2.5759413512591944</v>
      </c>
    </row>
    <row r="8" spans="1:15" x14ac:dyDescent="0.25">
      <c r="A8" s="171" t="s">
        <v>1064</v>
      </c>
      <c r="B8" s="43" t="s">
        <v>103</v>
      </c>
      <c r="C8" s="45">
        <v>0.109</v>
      </c>
      <c r="D8" s="45">
        <v>0.13</v>
      </c>
      <c r="E8" s="45">
        <v>0.22</v>
      </c>
      <c r="F8" s="45">
        <v>1.4339999999999999</v>
      </c>
      <c r="G8" s="45">
        <v>1.0569999999999999</v>
      </c>
      <c r="H8" s="45">
        <v>0.439</v>
      </c>
      <c r="I8" s="45">
        <v>0.36499999999999999</v>
      </c>
      <c r="J8" s="45">
        <v>0.95799999999999996</v>
      </c>
      <c r="K8" s="45">
        <v>0.48899999999999999</v>
      </c>
      <c r="L8" s="45">
        <v>0.74</v>
      </c>
      <c r="M8" s="45">
        <v>0.35</v>
      </c>
      <c r="N8" s="45">
        <v>0.52600000000000002</v>
      </c>
      <c r="O8" s="18">
        <f t="shared" si="0"/>
        <v>6.8169999999999993</v>
      </c>
    </row>
    <row r="9" spans="1:15" x14ac:dyDescent="0.25">
      <c r="A9" s="172"/>
      <c r="B9" s="43" t="s">
        <v>104</v>
      </c>
      <c r="C9" s="46">
        <f>GETPIVOTDATA("SAIDI",'CONFIABILIDAD MENSUAL 2018'!$A$3,"Mes","ENERO","Area","AREA VILLAFLORES")</f>
        <v>0.18690632763407861</v>
      </c>
      <c r="D9" s="81">
        <f>GETPIVOTDATA("SAIDI",'CONFIABILIDAD MENSUAL 2018'!$A$3,"Mes","FEBRERO","Area","AREA VILLAFLORES")</f>
        <v>0.10618936813588283</v>
      </c>
      <c r="E9" s="46">
        <f>GETPIVOTDATA("SAIDI",'CONFIABILIDAD MENSUAL 2018'!$A$3,"Mes","MARZO","Area","AREA VILLAFLORES")</f>
        <v>0.50279342168864305</v>
      </c>
      <c r="F9" s="47">
        <f>GETPIVOTDATA("SAIDI",'CONFIABILIDAD MENSUAL 2018'!$A$3,"Mes","ABRIL","Area","AREA VILLAFLORES")</f>
        <v>0.27455344596949155</v>
      </c>
      <c r="G9" s="47">
        <f>GETPIVOTDATA("SAIDI",'CONFIABILIDAD MENSUAL 2018'!$A$3,"Mes","MAYO","Area","AREA VILLAFLORES")</f>
        <v>0.2583886959160962</v>
      </c>
      <c r="H9" s="47"/>
      <c r="I9" s="47"/>
      <c r="J9" s="47"/>
      <c r="K9" s="47"/>
      <c r="L9" s="47"/>
      <c r="M9" s="47"/>
      <c r="N9" s="47"/>
      <c r="O9" s="18">
        <f t="shared" si="0"/>
        <v>1.3288312593441922</v>
      </c>
    </row>
    <row r="10" spans="1:15" x14ac:dyDescent="0.25">
      <c r="A10" s="171" t="s">
        <v>319</v>
      </c>
      <c r="B10" s="43" t="s">
        <v>103</v>
      </c>
      <c r="C10" s="45">
        <v>0.2</v>
      </c>
      <c r="D10" s="45">
        <v>0.14799999999999999</v>
      </c>
      <c r="E10" s="45">
        <v>0.33300000000000002</v>
      </c>
      <c r="F10" s="45">
        <v>1.024</v>
      </c>
      <c r="G10" s="45">
        <v>0.97099999999999997</v>
      </c>
      <c r="H10" s="45">
        <v>0.39400000000000002</v>
      </c>
      <c r="I10" s="45">
        <v>0.33500000000000002</v>
      </c>
      <c r="J10" s="45">
        <v>0.76</v>
      </c>
      <c r="K10" s="45">
        <v>0.45</v>
      </c>
      <c r="L10" s="45">
        <v>0.71799999999999997</v>
      </c>
      <c r="M10" s="45">
        <v>0.27200000000000002</v>
      </c>
      <c r="N10" s="45">
        <v>0.39</v>
      </c>
      <c r="O10" s="18">
        <f t="shared" si="0"/>
        <v>5.9950000000000001</v>
      </c>
    </row>
    <row r="11" spans="1:15" x14ac:dyDescent="0.25">
      <c r="A11" s="172"/>
      <c r="B11" s="43" t="s">
        <v>104</v>
      </c>
      <c r="C11" s="46">
        <f>GETPIVOTDATA("SAIDI",'CONFIABILIDAD MENSUAL 2018'!$A$3,"Mes","ENERO","Area","AREA CINTALAPA")</f>
        <v>2.7449798971061576</v>
      </c>
      <c r="D11" s="81">
        <f>GETPIVOTDATA("SAIDI",'CONFIABILIDAD MENSUAL 2018'!$A$3,"Mes","FEBRERO","Area","AREA CINTALAPA")</f>
        <v>8.5166574864075958E-2</v>
      </c>
      <c r="E11" s="81">
        <f>GETPIVOTDATA("SAIDI",'CONFIABILIDAD MENSUAL 2018'!$A$3,"Mes","MARZO","Area","AREA CINTALAPA")</f>
        <v>0.18047827276235867</v>
      </c>
      <c r="F11" s="47">
        <f>GETPIVOTDATA("SAIDI",'CONFIABILIDAD MENSUAL 2018'!$A$3,"Mes","ABRIL","Area","AREA CINTALAPA")</f>
        <v>8.2157698115611313E-2</v>
      </c>
      <c r="G11" s="47">
        <f>GETPIVOTDATA("SAIDI",'CONFIABILIDAD MENSUAL 2018'!$A$3,"Mes","MAYO","Area","AREA CINTALAPA")</f>
        <v>0.59080400334236371</v>
      </c>
      <c r="H11" s="47"/>
      <c r="I11" s="47"/>
      <c r="J11" s="47"/>
      <c r="K11" s="47"/>
      <c r="L11" s="47"/>
      <c r="M11" s="47"/>
      <c r="N11" s="47"/>
      <c r="O11" s="154">
        <f t="shared" si="0"/>
        <v>3.6835864461905672</v>
      </c>
    </row>
    <row r="12" spans="1:15" x14ac:dyDescent="0.25">
      <c r="A12" s="171" t="s">
        <v>1065</v>
      </c>
      <c r="B12" s="43" t="s">
        <v>103</v>
      </c>
      <c r="C12" s="45">
        <v>0.13900000000000001</v>
      </c>
      <c r="D12" s="45">
        <v>0.151</v>
      </c>
      <c r="E12" s="45">
        <v>0.17399999999999999</v>
      </c>
      <c r="F12" s="45">
        <v>0.74299999999999999</v>
      </c>
      <c r="G12" s="45">
        <v>0.96699999999999997</v>
      </c>
      <c r="H12" s="45">
        <v>0.33300000000000002</v>
      </c>
      <c r="I12" s="45">
        <v>0.308</v>
      </c>
      <c r="J12" s="45">
        <v>0.55300000000000005</v>
      </c>
      <c r="K12" s="45">
        <v>0.42699999999999999</v>
      </c>
      <c r="L12" s="45">
        <v>0.69</v>
      </c>
      <c r="M12" s="45">
        <v>0.22800000000000001</v>
      </c>
      <c r="N12" s="45">
        <v>0.36499999999999999</v>
      </c>
      <c r="O12" s="18">
        <f t="shared" si="0"/>
        <v>5.0779999999999994</v>
      </c>
    </row>
    <row r="13" spans="1:15" x14ac:dyDescent="0.25">
      <c r="A13" s="172"/>
      <c r="B13" s="43" t="s">
        <v>104</v>
      </c>
      <c r="C13" s="47">
        <v>0</v>
      </c>
      <c r="D13" s="47">
        <f>GETPIVOTDATA("SAIDI",'CONFIABILIDAD MENSUAL 2018'!$A$3,"Mes","FEBRERO","Area","AREA BOCHIL")</f>
        <v>2.577966628821517E-2</v>
      </c>
      <c r="E13" s="47">
        <f>GETPIVOTDATA("SAIDI",'CONFIABILIDAD MENSUAL 2018'!$A$3,"Mes","MARZO","Area","AREA BOCHIL")</f>
        <v>5.9465596510752143E-3</v>
      </c>
      <c r="F13" s="47">
        <f>GETPIVOTDATA("SAIDI",'CONFIABILIDAD MENSUAL 2018'!$A$3,"Mes","ABRIL","Area","AREA BOCHIL")</f>
        <v>1.8997515709484145E-2</v>
      </c>
      <c r="G13" s="47">
        <f>GETPIVOTDATA("SAIDI",'CONFIABILIDAD MENSUAL 2018'!$A$3,"Mes","MAYO","Area","AREA BOCHIL")</f>
        <v>1.3472498566755472E-2</v>
      </c>
      <c r="H13" s="47"/>
      <c r="I13" s="47"/>
      <c r="J13" s="47"/>
      <c r="K13" s="47"/>
      <c r="L13" s="47"/>
      <c r="M13" s="47"/>
      <c r="N13" s="47"/>
      <c r="O13" s="18">
        <f t="shared" si="0"/>
        <v>6.4196240215529998E-2</v>
      </c>
    </row>
    <row r="14" spans="1:15" x14ac:dyDescent="0.25">
      <c r="A14" s="171" t="s">
        <v>1066</v>
      </c>
      <c r="B14" s="43" t="s">
        <v>103</v>
      </c>
      <c r="C14" s="45">
        <v>0</v>
      </c>
      <c r="D14" s="45">
        <v>0</v>
      </c>
      <c r="E14" s="45">
        <v>0</v>
      </c>
      <c r="F14" s="45">
        <v>0</v>
      </c>
      <c r="G14" s="45">
        <v>0</v>
      </c>
      <c r="H14" s="45">
        <v>0</v>
      </c>
      <c r="I14" s="45">
        <v>0</v>
      </c>
      <c r="J14" s="45">
        <v>0</v>
      </c>
      <c r="K14" s="45">
        <v>0</v>
      </c>
      <c r="L14" s="45">
        <v>0</v>
      </c>
      <c r="M14" s="45">
        <v>0</v>
      </c>
      <c r="N14" s="45">
        <v>0</v>
      </c>
      <c r="O14" s="18">
        <f t="shared" si="0"/>
        <v>0</v>
      </c>
    </row>
    <row r="15" spans="1:15" x14ac:dyDescent="0.25">
      <c r="A15" s="172"/>
      <c r="B15" s="43" t="s">
        <v>104</v>
      </c>
      <c r="C15" s="47">
        <v>0</v>
      </c>
      <c r="D15" s="47">
        <v>0</v>
      </c>
      <c r="E15" s="47">
        <v>0</v>
      </c>
      <c r="F15" s="47">
        <v>0</v>
      </c>
      <c r="G15" s="47">
        <v>0</v>
      </c>
      <c r="H15" s="47"/>
      <c r="I15" s="47"/>
      <c r="J15" s="47"/>
      <c r="K15" s="47"/>
      <c r="L15" s="47"/>
      <c r="M15" s="47"/>
      <c r="N15" s="47"/>
      <c r="O15" s="18">
        <f t="shared" si="0"/>
        <v>0</v>
      </c>
    </row>
    <row r="16" spans="1:15" x14ac:dyDescent="0.25">
      <c r="A16" s="171" t="s">
        <v>1067</v>
      </c>
      <c r="B16" s="43" t="s">
        <v>103</v>
      </c>
      <c r="C16" s="45">
        <v>0</v>
      </c>
      <c r="D16" s="45">
        <v>0</v>
      </c>
      <c r="E16" s="45">
        <v>0</v>
      </c>
      <c r="F16" s="45">
        <v>0</v>
      </c>
      <c r="G16" s="45">
        <v>0</v>
      </c>
      <c r="H16" s="45">
        <v>0</v>
      </c>
      <c r="I16" s="45">
        <v>0</v>
      </c>
      <c r="J16" s="45">
        <v>0</v>
      </c>
      <c r="K16" s="45">
        <v>0</v>
      </c>
      <c r="L16" s="45">
        <v>0</v>
      </c>
      <c r="M16" s="45">
        <v>0</v>
      </c>
      <c r="N16" s="45">
        <v>0</v>
      </c>
      <c r="O16" s="18">
        <f t="shared" si="0"/>
        <v>0</v>
      </c>
    </row>
    <row r="17" spans="1:15" x14ac:dyDescent="0.25">
      <c r="A17" s="172"/>
      <c r="B17" s="43" t="s">
        <v>104</v>
      </c>
      <c r="C17" s="47">
        <v>0</v>
      </c>
      <c r="D17" s="47">
        <v>0</v>
      </c>
      <c r="E17" s="47">
        <v>0</v>
      </c>
      <c r="F17" s="47">
        <v>0</v>
      </c>
      <c r="G17" s="47">
        <v>0</v>
      </c>
      <c r="H17" s="47"/>
      <c r="I17" s="47"/>
      <c r="J17" s="47"/>
      <c r="K17" s="47"/>
      <c r="L17" s="47"/>
      <c r="M17" s="47"/>
      <c r="N17" s="47"/>
      <c r="O17" s="18">
        <f t="shared" si="0"/>
        <v>0</v>
      </c>
    </row>
    <row r="18" spans="1:15" x14ac:dyDescent="0.25">
      <c r="A18" s="171" t="s">
        <v>1068</v>
      </c>
      <c r="B18" s="43" t="s">
        <v>103</v>
      </c>
      <c r="C18" s="45">
        <v>0</v>
      </c>
      <c r="D18" s="45">
        <v>0</v>
      </c>
      <c r="E18" s="45">
        <v>0</v>
      </c>
      <c r="F18" s="45">
        <v>0</v>
      </c>
      <c r="G18" s="45">
        <v>0</v>
      </c>
      <c r="H18" s="45">
        <v>0</v>
      </c>
      <c r="I18" s="45">
        <v>0</v>
      </c>
      <c r="J18" s="45">
        <v>0</v>
      </c>
      <c r="K18" s="45">
        <v>0</v>
      </c>
      <c r="L18" s="45">
        <v>0</v>
      </c>
      <c r="M18" s="45">
        <v>0</v>
      </c>
      <c r="N18" s="45">
        <v>0</v>
      </c>
      <c r="O18" s="18">
        <f t="shared" si="0"/>
        <v>0</v>
      </c>
    </row>
    <row r="19" spans="1:15" x14ac:dyDescent="0.25">
      <c r="A19" s="172"/>
      <c r="B19" s="43" t="s">
        <v>104</v>
      </c>
      <c r="C19" s="47">
        <v>0</v>
      </c>
      <c r="D19" s="47">
        <v>0</v>
      </c>
      <c r="E19" s="47">
        <v>0</v>
      </c>
      <c r="F19" s="47">
        <v>0</v>
      </c>
      <c r="G19" s="47">
        <v>0</v>
      </c>
      <c r="H19" s="47"/>
      <c r="I19" s="47"/>
      <c r="J19" s="47"/>
      <c r="K19" s="47"/>
      <c r="L19" s="47"/>
      <c r="M19" s="47"/>
      <c r="N19" s="47"/>
      <c r="O19" s="18">
        <f t="shared" si="0"/>
        <v>0</v>
      </c>
    </row>
    <row r="20" spans="1:15" x14ac:dyDescent="0.25">
      <c r="A20" s="171" t="s">
        <v>1069</v>
      </c>
      <c r="B20" s="43" t="s">
        <v>103</v>
      </c>
      <c r="C20" s="45">
        <v>0</v>
      </c>
      <c r="D20" s="45">
        <v>0</v>
      </c>
      <c r="E20" s="45">
        <v>0</v>
      </c>
      <c r="F20" s="45">
        <v>0</v>
      </c>
      <c r="G20" s="45">
        <v>0</v>
      </c>
      <c r="H20" s="45">
        <v>0</v>
      </c>
      <c r="I20" s="45">
        <v>0</v>
      </c>
      <c r="J20" s="45">
        <v>0</v>
      </c>
      <c r="K20" s="45">
        <v>0</v>
      </c>
      <c r="L20" s="45">
        <v>0</v>
      </c>
      <c r="M20" s="45">
        <v>0</v>
      </c>
      <c r="N20" s="45">
        <v>0</v>
      </c>
      <c r="O20" s="18">
        <f t="shared" si="0"/>
        <v>0</v>
      </c>
    </row>
    <row r="21" spans="1:15" x14ac:dyDescent="0.25">
      <c r="A21" s="173"/>
      <c r="B21" s="43" t="s">
        <v>104</v>
      </c>
      <c r="C21" s="47">
        <v>0</v>
      </c>
      <c r="D21" s="47">
        <v>0</v>
      </c>
      <c r="E21" s="47">
        <v>0</v>
      </c>
      <c r="F21" s="47">
        <v>0</v>
      </c>
      <c r="G21" s="47">
        <v>0</v>
      </c>
      <c r="H21" s="47"/>
      <c r="I21" s="47"/>
      <c r="J21" s="47"/>
      <c r="K21" s="47"/>
      <c r="L21" s="47"/>
      <c r="M21" s="47"/>
      <c r="N21" s="47"/>
      <c r="O21" s="18">
        <f t="shared" si="0"/>
        <v>0</v>
      </c>
    </row>
    <row r="22" spans="1:15" x14ac:dyDescent="0.25">
      <c r="A22" s="174" t="s">
        <v>1070</v>
      </c>
      <c r="B22" s="143" t="s">
        <v>103</v>
      </c>
      <c r="C22" s="144">
        <f>C4+C6+C8+C10+C12+C14+C16+C18+C20</f>
        <v>1.1220000000000001</v>
      </c>
      <c r="D22" s="144">
        <f t="shared" ref="D22:N23" si="1">D4+D6+D8+D10+D12+D14+D16+D18+D20+C22</f>
        <v>1.8240000000000003</v>
      </c>
      <c r="E22" s="144">
        <f t="shared" si="1"/>
        <v>3.4470000000000001</v>
      </c>
      <c r="F22" s="144">
        <f t="shared" si="1"/>
        <v>10.009</v>
      </c>
      <c r="G22" s="144">
        <f t="shared" si="1"/>
        <v>15.119</v>
      </c>
      <c r="H22" s="144">
        <f t="shared" si="1"/>
        <v>17.584</v>
      </c>
      <c r="I22" s="144">
        <f t="shared" si="1"/>
        <v>19.341999999999999</v>
      </c>
      <c r="J22" s="144">
        <f t="shared" si="1"/>
        <v>24.445999999999998</v>
      </c>
      <c r="K22" s="144">
        <f t="shared" si="1"/>
        <v>26.742999999999999</v>
      </c>
      <c r="L22" s="144">
        <f t="shared" si="1"/>
        <v>30.420999999999999</v>
      </c>
      <c r="M22" s="144">
        <f t="shared" si="1"/>
        <v>32.235999999999997</v>
      </c>
      <c r="N22" s="144">
        <f t="shared" si="1"/>
        <v>34.696999999999996</v>
      </c>
      <c r="O22" s="145"/>
    </row>
    <row r="23" spans="1:15" x14ac:dyDescent="0.25">
      <c r="A23" s="174"/>
      <c r="B23" s="143" t="s">
        <v>104</v>
      </c>
      <c r="C23" s="146">
        <f>C5+C7+C9+C11+C13+C15+C17+C19+C21</f>
        <v>3.5665868546184196</v>
      </c>
      <c r="D23" s="146">
        <f t="shared" si="1"/>
        <v>4.1622732569685663</v>
      </c>
      <c r="E23" s="146">
        <f t="shared" si="1"/>
        <v>6.0138546971076572</v>
      </c>
      <c r="F23" s="146">
        <f t="shared" si="1"/>
        <v>7.3345173994012232</v>
      </c>
      <c r="G23" s="146">
        <f t="shared" si="1"/>
        <v>10.58463824158695</v>
      </c>
      <c r="H23" s="146">
        <f t="shared" si="1"/>
        <v>10.58463824158695</v>
      </c>
      <c r="I23" s="146">
        <f t="shared" si="1"/>
        <v>10.58463824158695</v>
      </c>
      <c r="J23" s="146">
        <f t="shared" si="1"/>
        <v>10.58463824158695</v>
      </c>
      <c r="K23" s="146">
        <f t="shared" si="1"/>
        <v>10.58463824158695</v>
      </c>
      <c r="L23" s="146">
        <f t="shared" si="1"/>
        <v>10.58463824158695</v>
      </c>
      <c r="M23" s="146">
        <f t="shared" si="1"/>
        <v>10.58463824158695</v>
      </c>
      <c r="N23" s="146">
        <f t="shared" si="1"/>
        <v>10.58463824158695</v>
      </c>
      <c r="O23" s="145"/>
    </row>
    <row r="24" spans="1:15" x14ac:dyDescent="0.25">
      <c r="A24" s="175" t="s">
        <v>1071</v>
      </c>
      <c r="B24" s="147" t="s">
        <v>103</v>
      </c>
      <c r="C24" s="148">
        <f>C4+C6+C8+C10+C12+C14+C16+C18+C20</f>
        <v>1.1220000000000001</v>
      </c>
      <c r="D24" s="148">
        <f t="shared" ref="D24:N25" si="2">D4+D6+D8+D10+D12+D14+D16+D18+D20</f>
        <v>0.70200000000000007</v>
      </c>
      <c r="E24" s="148">
        <f t="shared" si="2"/>
        <v>1.6229999999999998</v>
      </c>
      <c r="F24" s="148">
        <f t="shared" si="2"/>
        <v>6.5620000000000003</v>
      </c>
      <c r="G24" s="148">
        <f t="shared" si="2"/>
        <v>5.1099999999999994</v>
      </c>
      <c r="H24" s="148">
        <f t="shared" si="2"/>
        <v>2.4650000000000003</v>
      </c>
      <c r="I24" s="148">
        <f t="shared" si="2"/>
        <v>1.758</v>
      </c>
      <c r="J24" s="148">
        <f t="shared" si="2"/>
        <v>5.1040000000000001</v>
      </c>
      <c r="K24" s="148">
        <f t="shared" si="2"/>
        <v>2.2969999999999997</v>
      </c>
      <c r="L24" s="148">
        <f t="shared" si="2"/>
        <v>3.6779999999999999</v>
      </c>
      <c r="M24" s="148">
        <f t="shared" si="2"/>
        <v>1.8149999999999999</v>
      </c>
      <c r="N24" s="148">
        <f>N4+N6+N8+N10+N12+N14+N16+N18+N20</f>
        <v>2.4610000000000003</v>
      </c>
      <c r="O24" s="149">
        <f>O4+O6+O8+O10+O12+O14+O16+O18+O20</f>
        <v>34.697000000000003</v>
      </c>
    </row>
    <row r="25" spans="1:15" x14ac:dyDescent="0.25">
      <c r="A25" s="175"/>
      <c r="B25" s="147" t="s">
        <v>104</v>
      </c>
      <c r="C25" s="148">
        <f>C5+C7+C9+C11+C13+C15+C17+C19+C21</f>
        <v>3.5665868546184196</v>
      </c>
      <c r="D25" s="148">
        <f t="shared" si="2"/>
        <v>0.59568640235014625</v>
      </c>
      <c r="E25" s="148">
        <f t="shared" si="2"/>
        <v>1.8515814401390904</v>
      </c>
      <c r="F25" s="148">
        <f t="shared" si="2"/>
        <v>1.320662702293566</v>
      </c>
      <c r="G25" s="148">
        <f t="shared" si="2"/>
        <v>3.2501208421857264</v>
      </c>
      <c r="H25" s="148">
        <f t="shared" si="2"/>
        <v>0</v>
      </c>
      <c r="I25" s="148">
        <f t="shared" si="2"/>
        <v>0</v>
      </c>
      <c r="J25" s="148">
        <f t="shared" si="2"/>
        <v>0</v>
      </c>
      <c r="K25" s="148">
        <f t="shared" si="2"/>
        <v>0</v>
      </c>
      <c r="L25" s="148">
        <f t="shared" si="2"/>
        <v>0</v>
      </c>
      <c r="M25" s="148">
        <f t="shared" si="2"/>
        <v>0</v>
      </c>
      <c r="N25" s="148">
        <f t="shared" si="2"/>
        <v>0</v>
      </c>
      <c r="O25" s="149">
        <f>O5+O7+O9+O11+O13+O15+O17+O19+O21</f>
        <v>10.584638241586948</v>
      </c>
    </row>
    <row r="29" spans="1:15" ht="18.75" x14ac:dyDescent="0.3">
      <c r="A29" s="176" t="s">
        <v>88</v>
      </c>
      <c r="B29" s="176"/>
    </row>
    <row r="30" spans="1:15" ht="30" x14ac:dyDescent="0.25">
      <c r="A30" s="38" t="s">
        <v>89</v>
      </c>
      <c r="B30" s="39"/>
      <c r="C30" s="40" t="s">
        <v>90</v>
      </c>
      <c r="D30" s="41" t="s">
        <v>91</v>
      </c>
      <c r="E30" s="41" t="s">
        <v>92</v>
      </c>
      <c r="F30" s="41" t="s">
        <v>93</v>
      </c>
      <c r="G30" s="41" t="s">
        <v>94</v>
      </c>
      <c r="H30" s="41" t="s">
        <v>95</v>
      </c>
      <c r="I30" s="41" t="s">
        <v>96</v>
      </c>
      <c r="J30" s="41" t="s">
        <v>97</v>
      </c>
      <c r="K30" s="41" t="s">
        <v>98</v>
      </c>
      <c r="L30" s="41" t="s">
        <v>99</v>
      </c>
      <c r="M30" s="41" t="s">
        <v>100</v>
      </c>
      <c r="N30" s="42" t="s">
        <v>101</v>
      </c>
      <c r="O30" s="40" t="s">
        <v>102</v>
      </c>
    </row>
    <row r="31" spans="1:15" x14ac:dyDescent="0.25">
      <c r="A31" s="177" t="s">
        <v>1062</v>
      </c>
      <c r="B31" s="43" t="s">
        <v>103</v>
      </c>
      <c r="C31" s="44">
        <v>4.0000000000000001E-3</v>
      </c>
      <c r="D31" s="45">
        <v>2E-3</v>
      </c>
      <c r="E31" s="45">
        <v>6.0000000000000001E-3</v>
      </c>
      <c r="F31" s="45">
        <v>1.4999999999999999E-2</v>
      </c>
      <c r="G31" s="45">
        <v>3.1E-2</v>
      </c>
      <c r="H31" s="45">
        <v>1.7999999999999999E-2</v>
      </c>
      <c r="I31" s="45">
        <v>8.0000000000000002E-3</v>
      </c>
      <c r="J31" s="45">
        <v>1.4E-2</v>
      </c>
      <c r="K31" s="45">
        <v>7.0000000000000001E-3</v>
      </c>
      <c r="L31" s="45">
        <v>1.4999999999999999E-2</v>
      </c>
      <c r="M31" s="45">
        <v>8.0000000000000002E-3</v>
      </c>
      <c r="N31" s="45">
        <v>6.0000000000000001E-3</v>
      </c>
      <c r="O31" s="18">
        <f>SUM(C31:N31)</f>
        <v>0.13400000000000001</v>
      </c>
    </row>
    <row r="32" spans="1:15" x14ac:dyDescent="0.25">
      <c r="A32" s="178"/>
      <c r="B32" s="43" t="s">
        <v>104</v>
      </c>
      <c r="C32" s="47">
        <f>'CONFIABILIDAD MENSUAL 2018'!I4</f>
        <v>1.1522161894805473E-3</v>
      </c>
      <c r="D32" s="48">
        <f>'CONFIABILIDAD MENSUAL 2018'!I5</f>
        <v>6.6884744657651272E-4</v>
      </c>
      <c r="E32" s="47">
        <f>'CONFIABILIDAD MENSUAL 2018'!I6</f>
        <v>1.7067787782386642E-3</v>
      </c>
      <c r="F32" s="47">
        <f>'CONFIABILIDAD MENSUAL 2018'!I7</f>
        <v>1.7517433124622955E-3</v>
      </c>
      <c r="G32" s="47">
        <f>'CONFIABILIDAD MENSUAL 2018'!I8</f>
        <v>3.4510280016636879E-3</v>
      </c>
      <c r="H32" s="47"/>
      <c r="I32" s="47"/>
      <c r="J32" s="47"/>
      <c r="K32" s="47"/>
      <c r="L32" s="47"/>
      <c r="M32" s="47"/>
      <c r="N32" s="47"/>
      <c r="O32" s="18">
        <f t="shared" ref="O32:O48" si="3">SUM(C32:N32)</f>
        <v>8.7306137284217083E-3</v>
      </c>
    </row>
    <row r="33" spans="1:15" x14ac:dyDescent="0.25">
      <c r="A33" s="177" t="s">
        <v>1063</v>
      </c>
      <c r="B33" s="43" t="s">
        <v>103</v>
      </c>
      <c r="C33" s="45">
        <v>4.0000000000000001E-3</v>
      </c>
      <c r="D33" s="45">
        <v>2E-3</v>
      </c>
      <c r="E33" s="45">
        <v>6.0000000000000001E-3</v>
      </c>
      <c r="F33" s="45">
        <v>1.6E-2</v>
      </c>
      <c r="G33" s="45">
        <v>2.9000000000000001E-2</v>
      </c>
      <c r="H33" s="45">
        <v>0.02</v>
      </c>
      <c r="I33" s="45">
        <v>7.0000000000000001E-3</v>
      </c>
      <c r="J33" s="45">
        <v>1.4999999999999999E-2</v>
      </c>
      <c r="K33" s="45">
        <v>0.01</v>
      </c>
      <c r="L33" s="45">
        <v>1.4E-2</v>
      </c>
      <c r="M33" s="45">
        <v>8.9999999999999993E-3</v>
      </c>
      <c r="N33" s="45">
        <v>5.0000000000000001E-3</v>
      </c>
      <c r="O33" s="18">
        <f t="shared" si="3"/>
        <v>0.13700000000000001</v>
      </c>
    </row>
    <row r="34" spans="1:15" x14ac:dyDescent="0.25">
      <c r="A34" s="178"/>
      <c r="B34" s="43" t="s">
        <v>104</v>
      </c>
      <c r="C34" s="47">
        <f>'CONFIABILIDAD MENSUAL 2018'!I9</f>
        <v>1.620596754310038E-3</v>
      </c>
      <c r="D34" s="48">
        <f>'CONFIABILIDAD MENSUAL 2018'!I10</f>
        <v>9.686110080673869E-4</v>
      </c>
      <c r="E34" s="47">
        <f>'CONFIABILIDAD MENSUAL 2018'!I11</f>
        <v>3.3966958561434668E-3</v>
      </c>
      <c r="F34" s="47">
        <f>'CONFIABILIDAD MENSUAL 2018'!I12</f>
        <v>2.7465836321601336E-3</v>
      </c>
      <c r="G34" s="47">
        <f>'CONFIABILIDAD MENSUAL 2018'!I13</f>
        <v>1.1130595742608019E-2</v>
      </c>
      <c r="H34" s="47"/>
      <c r="I34" s="47"/>
      <c r="J34" s="47"/>
      <c r="K34" s="47"/>
      <c r="L34" s="47"/>
      <c r="M34" s="47"/>
      <c r="N34" s="47"/>
      <c r="O34" s="18">
        <f t="shared" si="3"/>
        <v>1.9863082993289045E-2</v>
      </c>
    </row>
    <row r="35" spans="1:15" x14ac:dyDescent="0.25">
      <c r="A35" s="171" t="s">
        <v>1064</v>
      </c>
      <c r="B35" s="43" t="s">
        <v>103</v>
      </c>
      <c r="C35" s="45">
        <v>2E-3</v>
      </c>
      <c r="D35" s="45">
        <v>2E-3</v>
      </c>
      <c r="E35" s="45">
        <v>5.0000000000000001E-3</v>
      </c>
      <c r="F35" s="45">
        <v>1.2E-2</v>
      </c>
      <c r="G35" s="45">
        <v>2.9000000000000001E-2</v>
      </c>
      <c r="H35" s="45">
        <v>1.7000000000000001E-2</v>
      </c>
      <c r="I35" s="45">
        <v>6.0000000000000001E-3</v>
      </c>
      <c r="J35" s="45">
        <v>1.2999999999999999E-2</v>
      </c>
      <c r="K35" s="45">
        <v>7.0000000000000001E-3</v>
      </c>
      <c r="L35" s="45">
        <v>1.2E-2</v>
      </c>
      <c r="M35" s="45">
        <v>6.0000000000000001E-3</v>
      </c>
      <c r="N35" s="45">
        <v>5.0000000000000001E-3</v>
      </c>
      <c r="O35" s="18">
        <f t="shared" si="3"/>
        <v>0.11600000000000002</v>
      </c>
    </row>
    <row r="36" spans="1:15" x14ac:dyDescent="0.25">
      <c r="A36" s="172"/>
      <c r="B36" s="43" t="s">
        <v>104</v>
      </c>
      <c r="C36" s="47">
        <f>'CONFIABILIDAD MENSUAL 2018'!I14</f>
        <v>1.0491724652180593E-3</v>
      </c>
      <c r="D36" s="48">
        <f>'CONFIABILIDAD MENSUAL 2018'!I15</f>
        <v>6.1638882331560986E-4</v>
      </c>
      <c r="E36" s="47">
        <f>'CONFIABILIDAD MENSUAL 2018'!I16</f>
        <v>2.5198874387826601E-3</v>
      </c>
      <c r="F36" s="47">
        <f>'CONFIABILIDAD MENSUAL 2018'!I17</f>
        <v>1.2177894685566758E-3</v>
      </c>
      <c r="G36" s="47">
        <f>'CONFIABILIDAD MENSUAL 2018'!I18</f>
        <v>6.6378893647635424E-3</v>
      </c>
      <c r="H36" s="47"/>
      <c r="I36" s="47"/>
      <c r="J36" s="47"/>
      <c r="K36" s="47"/>
      <c r="L36" s="47"/>
      <c r="M36" s="47"/>
      <c r="N36" s="47"/>
      <c r="O36" s="18">
        <f t="shared" si="3"/>
        <v>1.2041127560636546E-2</v>
      </c>
    </row>
    <row r="37" spans="1:15" x14ac:dyDescent="0.25">
      <c r="A37" s="171" t="s">
        <v>319</v>
      </c>
      <c r="B37" s="43" t="s">
        <v>103</v>
      </c>
      <c r="C37" s="45">
        <v>4.0000000000000001E-3</v>
      </c>
      <c r="D37" s="45">
        <v>2E-3</v>
      </c>
      <c r="E37" s="45">
        <v>5.0000000000000001E-3</v>
      </c>
      <c r="F37" s="45">
        <v>1.4E-2</v>
      </c>
      <c r="G37" s="45">
        <v>1.7999999999999999E-2</v>
      </c>
      <c r="H37" s="45">
        <v>1.2999999999999999E-2</v>
      </c>
      <c r="I37" s="45">
        <v>4.0000000000000001E-3</v>
      </c>
      <c r="J37" s="45">
        <v>1.2999999999999999E-2</v>
      </c>
      <c r="K37" s="45">
        <v>7.0000000000000001E-3</v>
      </c>
      <c r="L37" s="45">
        <v>0.01</v>
      </c>
      <c r="M37" s="45">
        <v>3.0000000000000001E-3</v>
      </c>
      <c r="N37" s="45">
        <v>3.0000000000000001E-3</v>
      </c>
      <c r="O37" s="18">
        <f t="shared" si="3"/>
        <v>9.6000000000000002E-2</v>
      </c>
    </row>
    <row r="38" spans="1:15" x14ac:dyDescent="0.25">
      <c r="A38" s="172"/>
      <c r="B38" s="43" t="s">
        <v>104</v>
      </c>
      <c r="C38" s="47">
        <f>'CONFIABILIDAD MENSUAL 2018'!I19</f>
        <v>1.4931972406764164E-2</v>
      </c>
      <c r="D38" s="48">
        <f>'CONFIABILIDAD MENSUAL 2018'!I20</f>
        <v>5.3770088842425539E-4</v>
      </c>
      <c r="E38" s="47">
        <f>'CONFIABILIDAD MENSUAL 2018'!I21</f>
        <v>7.269266366153696E-4</v>
      </c>
      <c r="F38" s="47">
        <f>'CONFIABILIDAD MENSUAL 2018'!I22</f>
        <v>1.8360518141316036E-4</v>
      </c>
      <c r="G38" s="47">
        <f>'CONFIABILIDAD MENSUAL 2018'!I23</f>
        <v>2.1564241204749751E-3</v>
      </c>
      <c r="H38" s="47"/>
      <c r="I38" s="47"/>
      <c r="J38" s="47"/>
      <c r="K38" s="47"/>
      <c r="L38" s="47"/>
      <c r="M38" s="47"/>
      <c r="N38" s="47"/>
      <c r="O38" s="18">
        <f t="shared" si="3"/>
        <v>1.8536629233691922E-2</v>
      </c>
    </row>
    <row r="39" spans="1:15" x14ac:dyDescent="0.25">
      <c r="A39" s="171" t="s">
        <v>1065</v>
      </c>
      <c r="B39" s="43" t="s">
        <v>103</v>
      </c>
      <c r="C39" s="45">
        <v>3.0000000000000001E-3</v>
      </c>
      <c r="D39" s="45">
        <v>2E-3</v>
      </c>
      <c r="E39" s="45">
        <v>3.0000000000000001E-3</v>
      </c>
      <c r="F39" s="45">
        <v>1.0999999999999999E-2</v>
      </c>
      <c r="G39" s="45">
        <v>1.4E-2</v>
      </c>
      <c r="H39" s="45">
        <v>8.9999999999999993E-3</v>
      </c>
      <c r="I39" s="45">
        <v>3.0000000000000001E-3</v>
      </c>
      <c r="J39" s="45">
        <v>8.0000000000000002E-3</v>
      </c>
      <c r="K39" s="45">
        <v>6.0000000000000001E-3</v>
      </c>
      <c r="L39" s="45">
        <v>8.9999999999999993E-3</v>
      </c>
      <c r="M39" s="45">
        <v>3.0000000000000001E-3</v>
      </c>
      <c r="N39" s="45">
        <v>2E-3</v>
      </c>
      <c r="O39" s="18">
        <f t="shared" si="3"/>
        <v>7.3000000000000009E-2</v>
      </c>
    </row>
    <row r="40" spans="1:15" x14ac:dyDescent="0.25">
      <c r="A40" s="172"/>
      <c r="B40" s="43" t="s">
        <v>104</v>
      </c>
      <c r="C40" s="47">
        <v>9.9999999999999995E-7</v>
      </c>
      <c r="D40" s="47">
        <f>'CONFIABILIDAD MENSUAL 2018'!I24</f>
        <v>8.0561457150672409E-5</v>
      </c>
      <c r="E40" s="47">
        <f>'CONFIABILIDAD MENSUAL 2018'!I25</f>
        <v>8.6182023928626302E-5</v>
      </c>
      <c r="F40" s="47">
        <f>'CONFIABILIDAD MENSUAL 2018'!I26</f>
        <v>1.4613473622680112E-4</v>
      </c>
      <c r="G40" s="47">
        <f>'CONFIABILIDAD MENSUAL 2018'!I27</f>
        <v>1.4051416944884721E-4</v>
      </c>
      <c r="H40" s="47"/>
      <c r="I40" s="47"/>
      <c r="J40" s="47"/>
      <c r="K40" s="47"/>
      <c r="L40" s="47"/>
      <c r="M40" s="47"/>
      <c r="N40" s="47"/>
      <c r="O40" s="18">
        <f t="shared" si="3"/>
        <v>4.5439238675494705E-4</v>
      </c>
    </row>
    <row r="41" spans="1:15" x14ac:dyDescent="0.25">
      <c r="A41" s="171" t="s">
        <v>1066</v>
      </c>
      <c r="B41" s="43" t="s">
        <v>103</v>
      </c>
      <c r="C41" s="45">
        <v>0</v>
      </c>
      <c r="D41" s="45">
        <v>0</v>
      </c>
      <c r="E41" s="45">
        <v>0</v>
      </c>
      <c r="F41" s="45">
        <v>0</v>
      </c>
      <c r="G41" s="45">
        <v>0</v>
      </c>
      <c r="H41" s="45">
        <v>0</v>
      </c>
      <c r="I41" s="45">
        <v>0</v>
      </c>
      <c r="J41" s="45">
        <v>0</v>
      </c>
      <c r="K41" s="45">
        <v>0</v>
      </c>
      <c r="L41" s="45">
        <v>0</v>
      </c>
      <c r="M41" s="45">
        <v>0</v>
      </c>
      <c r="N41" s="45">
        <v>0</v>
      </c>
      <c r="O41" s="18">
        <f t="shared" si="3"/>
        <v>0</v>
      </c>
    </row>
    <row r="42" spans="1:15" x14ac:dyDescent="0.25">
      <c r="A42" s="172"/>
      <c r="B42" s="43" t="s">
        <v>104</v>
      </c>
      <c r="C42" s="47">
        <v>0</v>
      </c>
      <c r="D42" s="47">
        <v>0</v>
      </c>
      <c r="E42" s="47">
        <v>0</v>
      </c>
      <c r="F42" s="47">
        <v>0</v>
      </c>
      <c r="G42" s="47">
        <v>0</v>
      </c>
      <c r="H42" s="47"/>
      <c r="I42" s="47"/>
      <c r="J42" s="47"/>
      <c r="K42" s="47"/>
      <c r="L42" s="47"/>
      <c r="M42" s="47"/>
      <c r="N42" s="47"/>
      <c r="O42" s="18">
        <f t="shared" si="3"/>
        <v>0</v>
      </c>
    </row>
    <row r="43" spans="1:15" x14ac:dyDescent="0.25">
      <c r="A43" s="171" t="s">
        <v>1067</v>
      </c>
      <c r="B43" s="43" t="s">
        <v>103</v>
      </c>
      <c r="C43" s="45">
        <v>0</v>
      </c>
      <c r="D43" s="45">
        <v>0</v>
      </c>
      <c r="E43" s="45">
        <v>0</v>
      </c>
      <c r="F43" s="45">
        <v>0</v>
      </c>
      <c r="G43" s="45">
        <v>0</v>
      </c>
      <c r="H43" s="45">
        <v>0</v>
      </c>
      <c r="I43" s="45">
        <v>0</v>
      </c>
      <c r="J43" s="45">
        <v>0</v>
      </c>
      <c r="K43" s="45">
        <v>0</v>
      </c>
      <c r="L43" s="45">
        <v>0</v>
      </c>
      <c r="M43" s="45">
        <v>0</v>
      </c>
      <c r="N43" s="45">
        <v>0</v>
      </c>
      <c r="O43" s="18">
        <f t="shared" si="3"/>
        <v>0</v>
      </c>
    </row>
    <row r="44" spans="1:15" x14ac:dyDescent="0.25">
      <c r="A44" s="172"/>
      <c r="B44" s="43" t="s">
        <v>104</v>
      </c>
      <c r="C44" s="47">
        <v>0</v>
      </c>
      <c r="D44" s="47">
        <v>0</v>
      </c>
      <c r="E44" s="47">
        <v>0</v>
      </c>
      <c r="F44" s="47">
        <v>0</v>
      </c>
      <c r="G44" s="47">
        <v>0</v>
      </c>
      <c r="H44" s="47"/>
      <c r="I44" s="47"/>
      <c r="J44" s="47"/>
      <c r="K44" s="47"/>
      <c r="L44" s="47"/>
      <c r="M44" s="47"/>
      <c r="N44" s="47"/>
      <c r="O44" s="18">
        <f t="shared" si="3"/>
        <v>0</v>
      </c>
    </row>
    <row r="45" spans="1:15" x14ac:dyDescent="0.25">
      <c r="A45" s="171" t="s">
        <v>1068</v>
      </c>
      <c r="B45" s="43" t="s">
        <v>103</v>
      </c>
      <c r="C45" s="45">
        <v>0</v>
      </c>
      <c r="D45" s="45">
        <v>0</v>
      </c>
      <c r="E45" s="45">
        <v>0</v>
      </c>
      <c r="F45" s="45">
        <v>0</v>
      </c>
      <c r="G45" s="45">
        <v>0</v>
      </c>
      <c r="H45" s="45">
        <v>0</v>
      </c>
      <c r="I45" s="45">
        <v>0</v>
      </c>
      <c r="J45" s="45">
        <v>0</v>
      </c>
      <c r="K45" s="45">
        <v>0</v>
      </c>
      <c r="L45" s="45">
        <v>0</v>
      </c>
      <c r="M45" s="45">
        <v>0</v>
      </c>
      <c r="N45" s="45">
        <v>0</v>
      </c>
      <c r="O45" s="18">
        <f t="shared" si="3"/>
        <v>0</v>
      </c>
    </row>
    <row r="46" spans="1:15" x14ac:dyDescent="0.25">
      <c r="A46" s="172"/>
      <c r="B46" s="43" t="s">
        <v>104</v>
      </c>
      <c r="C46" s="47">
        <v>0</v>
      </c>
      <c r="D46" s="47">
        <v>0</v>
      </c>
      <c r="E46" s="47">
        <v>0</v>
      </c>
      <c r="F46" s="47">
        <v>0</v>
      </c>
      <c r="G46" s="47">
        <v>0</v>
      </c>
      <c r="H46" s="47"/>
      <c r="I46" s="47"/>
      <c r="J46" s="47"/>
      <c r="K46" s="47"/>
      <c r="L46" s="47"/>
      <c r="M46" s="47"/>
      <c r="N46" s="47"/>
      <c r="O46" s="18">
        <f t="shared" si="3"/>
        <v>0</v>
      </c>
    </row>
    <row r="47" spans="1:15" x14ac:dyDescent="0.25">
      <c r="A47" s="171" t="s">
        <v>1069</v>
      </c>
      <c r="B47" s="43" t="s">
        <v>103</v>
      </c>
      <c r="C47" s="45">
        <v>0</v>
      </c>
      <c r="D47" s="45">
        <v>0</v>
      </c>
      <c r="E47" s="45">
        <v>0</v>
      </c>
      <c r="F47" s="45">
        <v>0</v>
      </c>
      <c r="G47" s="45">
        <v>0</v>
      </c>
      <c r="H47" s="45">
        <v>0</v>
      </c>
      <c r="I47" s="45">
        <v>0</v>
      </c>
      <c r="J47" s="45">
        <v>0</v>
      </c>
      <c r="K47" s="45">
        <v>0</v>
      </c>
      <c r="L47" s="45">
        <v>0</v>
      </c>
      <c r="M47" s="45">
        <v>0</v>
      </c>
      <c r="N47" s="45">
        <v>0</v>
      </c>
      <c r="O47" s="18">
        <f t="shared" si="3"/>
        <v>0</v>
      </c>
    </row>
    <row r="48" spans="1:15" x14ac:dyDescent="0.25">
      <c r="A48" s="173"/>
      <c r="B48" s="43" t="s">
        <v>104</v>
      </c>
      <c r="C48" s="47">
        <v>0</v>
      </c>
      <c r="D48" s="47">
        <v>0</v>
      </c>
      <c r="E48" s="47">
        <v>0</v>
      </c>
      <c r="F48" s="47">
        <v>0</v>
      </c>
      <c r="G48" s="47">
        <v>0</v>
      </c>
      <c r="H48" s="47"/>
      <c r="I48" s="47"/>
      <c r="J48" s="47"/>
      <c r="K48" s="47"/>
      <c r="L48" s="47"/>
      <c r="M48" s="47"/>
      <c r="N48" s="47"/>
      <c r="O48" s="18">
        <f t="shared" si="3"/>
        <v>0</v>
      </c>
    </row>
    <row r="49" spans="1:15" x14ac:dyDescent="0.25">
      <c r="A49" s="174" t="s">
        <v>1070</v>
      </c>
      <c r="B49" s="143" t="s">
        <v>103</v>
      </c>
      <c r="C49" s="144">
        <f>C31+C33+C35+C37+C39+C41+C43+C45+C47</f>
        <v>1.7000000000000001E-2</v>
      </c>
      <c r="D49" s="144">
        <f t="shared" ref="D49:N50" si="4">D31+D33+D35+D37+D39+D41+D43+D45+D47+C49</f>
        <v>2.7000000000000003E-2</v>
      </c>
      <c r="E49" s="144">
        <f t="shared" si="4"/>
        <v>5.2000000000000005E-2</v>
      </c>
      <c r="F49" s="144">
        <f t="shared" si="4"/>
        <v>0.12</v>
      </c>
      <c r="G49" s="144">
        <f t="shared" si="4"/>
        <v>0.24099999999999999</v>
      </c>
      <c r="H49" s="144">
        <f t="shared" si="4"/>
        <v>0.318</v>
      </c>
      <c r="I49" s="144">
        <f t="shared" si="4"/>
        <v>0.34599999999999997</v>
      </c>
      <c r="J49" s="144">
        <f t="shared" si="4"/>
        <v>0.40899999999999997</v>
      </c>
      <c r="K49" s="144">
        <f t="shared" si="4"/>
        <v>0.44599999999999995</v>
      </c>
      <c r="L49" s="144">
        <f t="shared" si="4"/>
        <v>0.50600000000000001</v>
      </c>
      <c r="M49" s="144">
        <f t="shared" si="4"/>
        <v>0.53500000000000003</v>
      </c>
      <c r="N49" s="144">
        <f t="shared" si="4"/>
        <v>0.55600000000000005</v>
      </c>
      <c r="O49" s="145"/>
    </row>
    <row r="50" spans="1:15" x14ac:dyDescent="0.25">
      <c r="A50" s="174"/>
      <c r="B50" s="143" t="s">
        <v>104</v>
      </c>
      <c r="C50" s="146">
        <f>C32+C34+C36+C38+C40+C42+C44+C46+C48</f>
        <v>1.875495781577281E-2</v>
      </c>
      <c r="D50" s="146">
        <f t="shared" si="4"/>
        <v>2.1627067439307247E-2</v>
      </c>
      <c r="E50" s="146">
        <f t="shared" si="4"/>
        <v>3.0063538173016033E-2</v>
      </c>
      <c r="F50" s="146">
        <f t="shared" si="4"/>
        <v>3.6109394503835102E-2</v>
      </c>
      <c r="G50" s="146">
        <f t="shared" si="4"/>
        <v>5.962584590279417E-2</v>
      </c>
      <c r="H50" s="146">
        <f t="shared" si="4"/>
        <v>5.962584590279417E-2</v>
      </c>
      <c r="I50" s="146">
        <f t="shared" si="4"/>
        <v>5.962584590279417E-2</v>
      </c>
      <c r="J50" s="146">
        <f t="shared" si="4"/>
        <v>5.962584590279417E-2</v>
      </c>
      <c r="K50" s="146">
        <f t="shared" si="4"/>
        <v>5.962584590279417E-2</v>
      </c>
      <c r="L50" s="146">
        <f t="shared" si="4"/>
        <v>5.962584590279417E-2</v>
      </c>
      <c r="M50" s="146">
        <f t="shared" si="4"/>
        <v>5.962584590279417E-2</v>
      </c>
      <c r="N50" s="146">
        <f t="shared" si="4"/>
        <v>5.962584590279417E-2</v>
      </c>
      <c r="O50" s="145"/>
    </row>
    <row r="51" spans="1:15" x14ac:dyDescent="0.25">
      <c r="A51" s="175" t="s">
        <v>1071</v>
      </c>
      <c r="B51" s="147" t="s">
        <v>103</v>
      </c>
      <c r="C51" s="148">
        <f>C31+C33+C35+C37+C39+C41+C43+C45+C47</f>
        <v>1.7000000000000001E-2</v>
      </c>
      <c r="D51" s="148">
        <f t="shared" ref="D51:N52" si="5">D31+D33+D35+D37+D39+D41+D43+D45+D47</f>
        <v>0.01</v>
      </c>
      <c r="E51" s="148">
        <f t="shared" si="5"/>
        <v>2.5000000000000001E-2</v>
      </c>
      <c r="F51" s="148">
        <f t="shared" si="5"/>
        <v>6.7999999999999991E-2</v>
      </c>
      <c r="G51" s="148">
        <f t="shared" si="5"/>
        <v>0.121</v>
      </c>
      <c r="H51" s="148">
        <f t="shared" si="5"/>
        <v>7.6999999999999999E-2</v>
      </c>
      <c r="I51" s="148">
        <f t="shared" si="5"/>
        <v>2.7999999999999997E-2</v>
      </c>
      <c r="J51" s="148">
        <f t="shared" si="5"/>
        <v>6.3E-2</v>
      </c>
      <c r="K51" s="148">
        <f t="shared" si="5"/>
        <v>3.6999999999999998E-2</v>
      </c>
      <c r="L51" s="148">
        <f t="shared" si="5"/>
        <v>0.06</v>
      </c>
      <c r="M51" s="148">
        <f t="shared" si="5"/>
        <v>2.8999999999999998E-2</v>
      </c>
      <c r="N51" s="148">
        <f>N31+N33+N35+N37+N39+N41+N43+N45+N47</f>
        <v>2.0999999999999998E-2</v>
      </c>
      <c r="O51" s="148">
        <f>O31+O33+O35+O37+O39+O41+O43+O45+O47</f>
        <v>0.55600000000000005</v>
      </c>
    </row>
    <row r="52" spans="1:15" x14ac:dyDescent="0.25">
      <c r="A52" s="175"/>
      <c r="B52" s="147" t="s">
        <v>104</v>
      </c>
      <c r="C52" s="148">
        <f>C32+C34+C36+C38+C40+C42+C44+C46+C48</f>
        <v>1.875495781577281E-2</v>
      </c>
      <c r="D52" s="148">
        <f t="shared" si="5"/>
        <v>2.8721096235344375E-3</v>
      </c>
      <c r="E52" s="148">
        <f t="shared" si="5"/>
        <v>8.4364707337087879E-3</v>
      </c>
      <c r="F52" s="148">
        <f t="shared" si="5"/>
        <v>6.0458563308190662E-3</v>
      </c>
      <c r="G52" s="148">
        <f t="shared" si="5"/>
        <v>2.3516451398959071E-2</v>
      </c>
      <c r="H52" s="148">
        <f t="shared" si="5"/>
        <v>0</v>
      </c>
      <c r="I52" s="148">
        <f t="shared" si="5"/>
        <v>0</v>
      </c>
      <c r="J52" s="148">
        <f t="shared" si="5"/>
        <v>0</v>
      </c>
      <c r="K52" s="148">
        <f t="shared" si="5"/>
        <v>0</v>
      </c>
      <c r="L52" s="148">
        <f t="shared" si="5"/>
        <v>0</v>
      </c>
      <c r="M52" s="148">
        <f t="shared" si="5"/>
        <v>0</v>
      </c>
      <c r="N52" s="148">
        <f t="shared" si="5"/>
        <v>0</v>
      </c>
      <c r="O52" s="149">
        <f>O32+O34+O36+O38+O40+O42+O44+O46+O48</f>
        <v>5.962584590279417E-2</v>
      </c>
    </row>
    <row r="56" spans="1:15" ht="18.75" x14ac:dyDescent="0.3">
      <c r="A56" s="176" t="s">
        <v>32</v>
      </c>
      <c r="B56" s="176"/>
    </row>
    <row r="57" spans="1:15" x14ac:dyDescent="0.25">
      <c r="A57" s="38" t="s">
        <v>89</v>
      </c>
      <c r="B57" s="39"/>
      <c r="C57" s="40" t="s">
        <v>90</v>
      </c>
      <c r="D57" s="41" t="s">
        <v>91</v>
      </c>
      <c r="E57" s="41" t="s">
        <v>92</v>
      </c>
      <c r="F57" s="41" t="s">
        <v>93</v>
      </c>
      <c r="G57" s="41" t="s">
        <v>94</v>
      </c>
      <c r="H57" s="41" t="s">
        <v>95</v>
      </c>
      <c r="I57" s="41" t="s">
        <v>96</v>
      </c>
      <c r="J57" s="41" t="s">
        <v>97</v>
      </c>
      <c r="K57" s="41" t="s">
        <v>98</v>
      </c>
      <c r="L57" s="41" t="s">
        <v>99</v>
      </c>
      <c r="M57" s="41" t="s">
        <v>100</v>
      </c>
      <c r="N57" s="42" t="s">
        <v>101</v>
      </c>
    </row>
    <row r="58" spans="1:15" x14ac:dyDescent="0.25">
      <c r="A58" s="171" t="s">
        <v>1062</v>
      </c>
      <c r="B58" s="43" t="s">
        <v>103</v>
      </c>
      <c r="C58" s="44">
        <v>35</v>
      </c>
      <c r="D58" s="44">
        <v>69</v>
      </c>
      <c r="E58" s="44">
        <v>48.166666666666664</v>
      </c>
      <c r="F58" s="44">
        <v>114.46666666666668</v>
      </c>
      <c r="G58" s="44">
        <v>32.838709677419352</v>
      </c>
      <c r="H58" s="44">
        <v>36.277777777777779</v>
      </c>
      <c r="I58" s="44">
        <v>49.25</v>
      </c>
      <c r="J58" s="44">
        <v>97</v>
      </c>
      <c r="K58" s="44">
        <v>61.857142857142854</v>
      </c>
      <c r="L58" s="44">
        <v>51</v>
      </c>
      <c r="M58" s="44">
        <v>59.249999999999993</v>
      </c>
      <c r="N58" s="44">
        <v>99.666666666666657</v>
      </c>
      <c r="O58" s="152"/>
    </row>
    <row r="59" spans="1:15" x14ac:dyDescent="0.25">
      <c r="A59" s="172"/>
      <c r="B59" s="43" t="s">
        <v>104</v>
      </c>
      <c r="C59" s="50">
        <f>'CONFIABILIDAD MENSUAL 2018'!J4</f>
        <v>275.2731707317073</v>
      </c>
      <c r="D59" s="50">
        <f>'CONFIABILIDAD MENSUAL 2018'!J5</f>
        <v>398.8879551820728</v>
      </c>
      <c r="E59" s="50">
        <f>'CONFIABILIDAD MENSUAL 2018'!J6</f>
        <v>296.40834248079034</v>
      </c>
      <c r="F59" s="50">
        <f>'CONFIABILIDAD MENSUAL 2018'!J7</f>
        <v>272.09411764705885</v>
      </c>
      <c r="G59" s="50">
        <f>'CONFIABILIDAD MENSUAL 2018'!J8</f>
        <v>395.69978284473399</v>
      </c>
      <c r="H59" s="49" t="e">
        <v>#DIV/0!</v>
      </c>
      <c r="I59" s="49" t="e">
        <v>#DIV/0!</v>
      </c>
      <c r="J59" s="49" t="e">
        <v>#DIV/0!</v>
      </c>
      <c r="K59" s="49" t="e">
        <v>#DIV/0!</v>
      </c>
      <c r="L59" s="49" t="e">
        <v>#DIV/0!</v>
      </c>
      <c r="M59" s="49" t="e">
        <v>#DIV/0!</v>
      </c>
      <c r="N59" s="49" t="e">
        <v>#DIV/0!</v>
      </c>
      <c r="O59" s="152"/>
    </row>
    <row r="60" spans="1:15" x14ac:dyDescent="0.25">
      <c r="A60" s="171" t="s">
        <v>1063</v>
      </c>
      <c r="B60" s="43" t="s">
        <v>103</v>
      </c>
      <c r="C60" s="44">
        <v>133.5</v>
      </c>
      <c r="D60" s="44">
        <v>67.5</v>
      </c>
      <c r="E60" s="44">
        <v>101.16666666666666</v>
      </c>
      <c r="F60" s="44">
        <v>102.74999999999999</v>
      </c>
      <c r="G60" s="44">
        <v>37.827586206896548</v>
      </c>
      <c r="H60" s="44">
        <v>32.299999999999997</v>
      </c>
      <c r="I60" s="44">
        <v>50.857142857142854</v>
      </c>
      <c r="J60" s="44">
        <v>98.333333333333343</v>
      </c>
      <c r="K60" s="44">
        <v>49.8</v>
      </c>
      <c r="L60" s="44">
        <v>54.642857142857146</v>
      </c>
      <c r="M60" s="44">
        <v>54.555555555555557</v>
      </c>
      <c r="N60" s="44">
        <v>116.39999999999999</v>
      </c>
    </row>
    <row r="61" spans="1:15" x14ac:dyDescent="0.25">
      <c r="A61" s="172"/>
      <c r="B61" s="43" t="s">
        <v>104</v>
      </c>
      <c r="C61" s="50">
        <f>'CONFIABILIDAD MENSUAL 2018'!J9</f>
        <v>195.93179190751445</v>
      </c>
      <c r="D61" s="50">
        <f>'CONFIABILIDAD MENSUAL 2018'!J10</f>
        <v>115.37717601547389</v>
      </c>
      <c r="E61" s="50">
        <f>'CONFIABILIDAD MENSUAL 2018'!J11</f>
        <v>193.2642029784887</v>
      </c>
      <c r="F61" s="50">
        <f>'CONFIABILIDAD MENSUAL 2018'!J12</f>
        <v>170.50818553888132</v>
      </c>
      <c r="G61" s="50">
        <f>'CONFIABILIDAD MENSUAL 2018'!J13</f>
        <v>91.808618077764692</v>
      </c>
      <c r="H61" s="49" t="e">
        <v>#DIV/0!</v>
      </c>
      <c r="I61" s="49" t="e">
        <v>#DIV/0!</v>
      </c>
      <c r="J61" s="49" t="e">
        <v>#DIV/0!</v>
      </c>
      <c r="K61" s="49" t="e">
        <v>#DIV/0!</v>
      </c>
      <c r="L61" s="49" t="e">
        <v>#DIV/0!</v>
      </c>
      <c r="M61" s="49" t="e">
        <v>#DIV/0!</v>
      </c>
      <c r="N61" s="49" t="e">
        <v>#DIV/0!</v>
      </c>
    </row>
    <row r="62" spans="1:15" ht="15" customHeight="1" x14ac:dyDescent="0.25">
      <c r="A62" s="171" t="s">
        <v>1064</v>
      </c>
      <c r="B62" s="43" t="s">
        <v>103</v>
      </c>
      <c r="C62" s="44">
        <v>54.5</v>
      </c>
      <c r="D62" s="44">
        <v>65</v>
      </c>
      <c r="E62" s="44">
        <v>44</v>
      </c>
      <c r="F62" s="44">
        <v>119.49999999999999</v>
      </c>
      <c r="G62" s="44">
        <v>36.448275862068961</v>
      </c>
      <c r="H62" s="44">
        <v>25.823529411764703</v>
      </c>
      <c r="I62" s="44">
        <v>60.833333333333329</v>
      </c>
      <c r="J62" s="44">
        <v>73.692307692307693</v>
      </c>
      <c r="K62" s="44">
        <v>69.857142857142861</v>
      </c>
      <c r="L62" s="44">
        <v>61.666666666666664</v>
      </c>
      <c r="M62" s="44">
        <v>58.333333333333329</v>
      </c>
      <c r="N62" s="44">
        <v>105.2</v>
      </c>
    </row>
    <row r="63" spans="1:15" x14ac:dyDescent="0.25">
      <c r="A63" s="172"/>
      <c r="B63" s="43" t="s">
        <v>104</v>
      </c>
      <c r="C63" s="50">
        <f>'CONFIABILIDAD MENSUAL 2018'!J14</f>
        <v>178.14642857142857</v>
      </c>
      <c r="D63" s="50">
        <f>'CONFIABILIDAD MENSUAL 2018'!J15</f>
        <v>172.27659574468086</v>
      </c>
      <c r="E63" s="50">
        <f>'CONFIABILIDAD MENSUAL 2018'!J16</f>
        <v>199.53011152416357</v>
      </c>
      <c r="F63" s="50">
        <f>'CONFIABILIDAD MENSUAL 2018'!J17</f>
        <v>225.4523076923077</v>
      </c>
      <c r="G63" s="50">
        <f>'CONFIABILIDAD MENSUAL 2018'!J18</f>
        <v>38.92633361558002</v>
      </c>
      <c r="H63" s="49" t="e">
        <v>#DIV/0!</v>
      </c>
      <c r="I63" s="49" t="e">
        <v>#DIV/0!</v>
      </c>
      <c r="J63" s="49" t="e">
        <v>#DIV/0!</v>
      </c>
      <c r="K63" s="49" t="e">
        <v>#DIV/0!</v>
      </c>
      <c r="L63" s="49" t="e">
        <v>#DIV/0!</v>
      </c>
      <c r="M63" s="49" t="e">
        <v>#DIV/0!</v>
      </c>
      <c r="N63" s="49" t="e">
        <v>#DIV/0!</v>
      </c>
    </row>
    <row r="64" spans="1:15" x14ac:dyDescent="0.25">
      <c r="A64" s="171" t="s">
        <v>319</v>
      </c>
      <c r="B64" s="43" t="s">
        <v>103</v>
      </c>
      <c r="C64" s="44">
        <v>50</v>
      </c>
      <c r="D64" s="44">
        <v>74</v>
      </c>
      <c r="E64" s="44">
        <v>66.600000000000009</v>
      </c>
      <c r="F64" s="44">
        <v>73.142857142857139</v>
      </c>
      <c r="G64" s="44">
        <v>53.94444444444445</v>
      </c>
      <c r="H64" s="44">
        <v>30.30769230769231</v>
      </c>
      <c r="I64" s="44">
        <v>83.75</v>
      </c>
      <c r="J64" s="44">
        <v>58.461538461538467</v>
      </c>
      <c r="K64" s="44">
        <v>64.285714285714292</v>
      </c>
      <c r="L64" s="44">
        <v>71.8</v>
      </c>
      <c r="M64" s="44">
        <v>90.666666666666671</v>
      </c>
      <c r="N64" s="44">
        <v>130</v>
      </c>
    </row>
    <row r="65" spans="1:15" x14ac:dyDescent="0.25">
      <c r="A65" s="172"/>
      <c r="B65" s="43" t="s">
        <v>104</v>
      </c>
      <c r="C65" s="50">
        <f>'CONFIABILIDAD MENSUAL 2018'!J19</f>
        <v>183.83237139272271</v>
      </c>
      <c r="D65" s="50">
        <f>'CONFIABILIDAD MENSUAL 2018'!J20</f>
        <v>158.39024390243901</v>
      </c>
      <c r="E65" s="50">
        <f>'CONFIABILIDAD MENSUAL 2018'!J21</f>
        <v>248.2757731958763</v>
      </c>
      <c r="F65" s="50">
        <f>'CONFIABILIDAD MENSUAL 2018'!J22</f>
        <v>447.46938775510205</v>
      </c>
      <c r="G65" s="50">
        <f>'CONFIABILIDAD MENSUAL 2018'!J23</f>
        <v>273.97393570807992</v>
      </c>
      <c r="H65" s="49" t="e">
        <v>#DIV/0!</v>
      </c>
      <c r="I65" s="49" t="e">
        <v>#DIV/0!</v>
      </c>
      <c r="J65" s="49" t="e">
        <v>#DIV/0!</v>
      </c>
      <c r="K65" s="49" t="e">
        <v>#DIV/0!</v>
      </c>
      <c r="L65" s="49" t="e">
        <v>#DIV/0!</v>
      </c>
      <c r="M65" s="49" t="e">
        <v>#DIV/0!</v>
      </c>
      <c r="N65" s="49" t="e">
        <v>#DIV/0!</v>
      </c>
    </row>
    <row r="66" spans="1:15" x14ac:dyDescent="0.25">
      <c r="A66" s="171" t="s">
        <v>1065</v>
      </c>
      <c r="B66" s="43" t="s">
        <v>103</v>
      </c>
      <c r="C66" s="44">
        <v>46.333333333333336</v>
      </c>
      <c r="D66" s="44">
        <v>75.5</v>
      </c>
      <c r="E66" s="44">
        <v>57.999999999999993</v>
      </c>
      <c r="F66" s="44">
        <v>67.545454545454547</v>
      </c>
      <c r="G66" s="44">
        <v>69.071428571428569</v>
      </c>
      <c r="H66" s="44">
        <v>37.000000000000007</v>
      </c>
      <c r="I66" s="44">
        <v>102.66666666666666</v>
      </c>
      <c r="J66" s="44">
        <v>69.125</v>
      </c>
      <c r="K66" s="44">
        <v>71.166666666666657</v>
      </c>
      <c r="L66" s="44">
        <v>76.666666666666671</v>
      </c>
      <c r="M66" s="44">
        <v>76</v>
      </c>
      <c r="N66" s="44">
        <v>182.5</v>
      </c>
    </row>
    <row r="67" spans="1:15" x14ac:dyDescent="0.25">
      <c r="A67" s="172"/>
      <c r="B67" s="43" t="s">
        <v>104</v>
      </c>
      <c r="C67" s="50">
        <v>0</v>
      </c>
      <c r="D67" s="50">
        <f>'CONFIABILIDAD MENSUAL 2018'!J24</f>
        <v>320</v>
      </c>
      <c r="E67" s="50">
        <f>'CONFIABILIDAD MENSUAL 2018'!J25</f>
        <v>69</v>
      </c>
      <c r="F67" s="50">
        <f>'CONFIABILIDAD MENSUAL 2018'!J26</f>
        <v>130</v>
      </c>
      <c r="G67" s="50">
        <f>'CONFIABILIDAD MENSUAL 2018'!J27</f>
        <v>95.88</v>
      </c>
      <c r="H67" s="49" t="e">
        <v>#DIV/0!</v>
      </c>
      <c r="I67" s="49" t="e">
        <v>#DIV/0!</v>
      </c>
      <c r="J67" s="49" t="e">
        <v>#DIV/0!</v>
      </c>
      <c r="K67" s="49" t="e">
        <v>#DIV/0!</v>
      </c>
      <c r="L67" s="49" t="e">
        <v>#DIV/0!</v>
      </c>
      <c r="M67" s="49" t="e">
        <v>#DIV/0!</v>
      </c>
      <c r="N67" s="49" t="e">
        <v>#DIV/0!</v>
      </c>
    </row>
    <row r="71" spans="1:15" ht="18.75" x14ac:dyDescent="0.3">
      <c r="A71" s="176" t="s">
        <v>30</v>
      </c>
      <c r="B71" s="176"/>
    </row>
    <row r="72" spans="1:15" ht="30" x14ac:dyDescent="0.25">
      <c r="A72" s="38" t="s">
        <v>89</v>
      </c>
      <c r="B72" s="39"/>
      <c r="C72" s="40" t="s">
        <v>90</v>
      </c>
      <c r="D72" s="41" t="s">
        <v>91</v>
      </c>
      <c r="E72" s="41" t="s">
        <v>92</v>
      </c>
      <c r="F72" s="41" t="s">
        <v>93</v>
      </c>
      <c r="G72" s="41" t="s">
        <v>94</v>
      </c>
      <c r="H72" s="41" t="s">
        <v>95</v>
      </c>
      <c r="I72" s="41" t="s">
        <v>96</v>
      </c>
      <c r="J72" s="41" t="s">
        <v>97</v>
      </c>
      <c r="K72" s="41" t="s">
        <v>98</v>
      </c>
      <c r="L72" s="41" t="s">
        <v>99</v>
      </c>
      <c r="M72" s="41" t="s">
        <v>100</v>
      </c>
      <c r="N72" s="42" t="s">
        <v>101</v>
      </c>
      <c r="O72" s="40" t="s">
        <v>102</v>
      </c>
    </row>
    <row r="73" spans="1:15" x14ac:dyDescent="0.25">
      <c r="A73" s="177" t="s">
        <v>1062</v>
      </c>
      <c r="B73" s="43" t="s">
        <v>103</v>
      </c>
      <c r="C73" s="44">
        <v>84</v>
      </c>
      <c r="D73" s="45">
        <v>74</v>
      </c>
      <c r="E73" s="45">
        <v>102</v>
      </c>
      <c r="F73" s="45">
        <v>167</v>
      </c>
      <c r="G73" s="45">
        <v>191</v>
      </c>
      <c r="H73" s="45">
        <v>194</v>
      </c>
      <c r="I73" s="45">
        <v>196</v>
      </c>
      <c r="J73" s="45">
        <v>223</v>
      </c>
      <c r="K73" s="45">
        <v>230</v>
      </c>
      <c r="L73" s="45">
        <v>311</v>
      </c>
      <c r="M73" s="45">
        <v>311</v>
      </c>
      <c r="N73" s="45">
        <v>311</v>
      </c>
      <c r="O73" s="18"/>
    </row>
    <row r="74" spans="1:15" x14ac:dyDescent="0.25">
      <c r="A74" s="178"/>
      <c r="B74" s="43" t="s">
        <v>104</v>
      </c>
      <c r="C74" s="46">
        <f>'CONFIABILIDAD MENSUAL 2018'!K4</f>
        <v>332</v>
      </c>
      <c r="D74" s="46">
        <f>'CONFIABILIDAD MENSUAL 2018'!K5</f>
        <v>423.71428571428572</v>
      </c>
      <c r="E74" s="46">
        <f>'CONFIABILIDAD MENSUAL 2018'!K6</f>
        <v>359.33333333333331</v>
      </c>
      <c r="F74" s="46">
        <f>'CONFIABILIDAD MENSUAL 2018'!K7</f>
        <v>261.93333333333334</v>
      </c>
      <c r="G74" s="46">
        <f>'CONFIABILIDAD MENSUAL 2018'!K8</f>
        <v>494.1</v>
      </c>
      <c r="H74" s="47">
        <f t="shared" ref="H74:N74" si="6">G92/G122</f>
        <v>0</v>
      </c>
      <c r="I74" s="47">
        <f t="shared" si="6"/>
        <v>0</v>
      </c>
      <c r="J74" s="47">
        <f t="shared" si="6"/>
        <v>0</v>
      </c>
      <c r="K74" s="47">
        <f t="shared" si="6"/>
        <v>0</v>
      </c>
      <c r="L74" s="47">
        <f t="shared" si="6"/>
        <v>0</v>
      </c>
      <c r="M74" s="47">
        <f t="shared" si="6"/>
        <v>0</v>
      </c>
      <c r="N74" s="47">
        <f t="shared" si="6"/>
        <v>0</v>
      </c>
      <c r="O74" s="18"/>
    </row>
    <row r="75" spans="1:15" x14ac:dyDescent="0.25">
      <c r="A75" s="177" t="s">
        <v>1063</v>
      </c>
      <c r="B75" s="43" t="s">
        <v>103</v>
      </c>
      <c r="C75" s="45">
        <v>49</v>
      </c>
      <c r="D75" s="45">
        <v>57</v>
      </c>
      <c r="E75" s="45">
        <v>59</v>
      </c>
      <c r="F75" s="45">
        <v>95</v>
      </c>
      <c r="G75" s="45">
        <v>124</v>
      </c>
      <c r="H75" s="45">
        <v>146</v>
      </c>
      <c r="I75" s="45">
        <v>151</v>
      </c>
      <c r="J75" s="45">
        <v>161</v>
      </c>
      <c r="K75" s="45">
        <v>159</v>
      </c>
      <c r="L75" s="45">
        <v>170</v>
      </c>
      <c r="M75" s="45">
        <v>170</v>
      </c>
      <c r="N75" s="45">
        <v>170</v>
      </c>
      <c r="O75" s="18"/>
    </row>
    <row r="76" spans="1:15" x14ac:dyDescent="0.25">
      <c r="A76" s="178"/>
      <c r="B76" s="43" t="s">
        <v>104</v>
      </c>
      <c r="C76" s="46">
        <f>'CONFIABILIDAD MENSUAL 2018'!K9</f>
        <v>213.875</v>
      </c>
      <c r="D76" s="46">
        <f>'CONFIABILIDAD MENSUAL 2018'!K10</f>
        <v>133.19999999999999</v>
      </c>
      <c r="E76" s="46">
        <f>'CONFIABILIDAD MENSUAL 2018'!K11</f>
        <v>220.2</v>
      </c>
      <c r="F76" s="46">
        <f>'CONFIABILIDAD MENSUAL 2018'!K12</f>
        <v>175.11111111111111</v>
      </c>
      <c r="G76" s="46">
        <f>'CONFIABILIDAD MENSUAL 2018'!K13</f>
        <v>175.76</v>
      </c>
      <c r="H76" s="47">
        <f t="shared" ref="H76:N76" si="7">G93/G123</f>
        <v>0</v>
      </c>
      <c r="I76" s="47" t="e">
        <f t="shared" si="7"/>
        <v>#DIV/0!</v>
      </c>
      <c r="J76" s="47" t="e">
        <f t="shared" si="7"/>
        <v>#DIV/0!</v>
      </c>
      <c r="K76" s="47" t="e">
        <f t="shared" si="7"/>
        <v>#DIV/0!</v>
      </c>
      <c r="L76" s="47" t="e">
        <f t="shared" si="7"/>
        <v>#DIV/0!</v>
      </c>
      <c r="M76" s="47" t="e">
        <f t="shared" si="7"/>
        <v>#DIV/0!</v>
      </c>
      <c r="N76" s="47" t="e">
        <f t="shared" si="7"/>
        <v>#DIV/0!</v>
      </c>
      <c r="O76" s="18"/>
    </row>
    <row r="77" spans="1:15" x14ac:dyDescent="0.25">
      <c r="A77" s="171" t="s">
        <v>1064</v>
      </c>
      <c r="B77" s="43" t="s">
        <v>103</v>
      </c>
      <c r="C77" s="45">
        <v>63</v>
      </c>
      <c r="D77" s="45">
        <v>101</v>
      </c>
      <c r="E77" s="45">
        <v>106</v>
      </c>
      <c r="F77" s="45">
        <v>120</v>
      </c>
      <c r="G77" s="45">
        <v>144</v>
      </c>
      <c r="H77" s="45">
        <v>171</v>
      </c>
      <c r="I77" s="45">
        <v>182</v>
      </c>
      <c r="J77" s="45">
        <v>146</v>
      </c>
      <c r="K77" s="45">
        <v>250</v>
      </c>
      <c r="L77" s="45">
        <v>246</v>
      </c>
      <c r="M77" s="45">
        <v>246</v>
      </c>
      <c r="N77" s="45">
        <v>246</v>
      </c>
      <c r="O77" s="18"/>
    </row>
    <row r="78" spans="1:15" x14ac:dyDescent="0.25">
      <c r="A78" s="172"/>
      <c r="B78" s="43" t="s">
        <v>104</v>
      </c>
      <c r="C78" s="46">
        <f>'CONFIABILIDAD MENSUAL 2018'!K14</f>
        <v>158</v>
      </c>
      <c r="D78" s="46">
        <f>'CONFIABILIDAD MENSUAL 2018'!K15</f>
        <v>695.4</v>
      </c>
      <c r="E78" s="46">
        <f>'CONFIABILIDAD MENSUAL 2018'!K16</f>
        <v>197.66666666666666</v>
      </c>
      <c r="F78" s="46">
        <f>'CONFIABILIDAD MENSUAL 2018'!K17</f>
        <v>223.66666666666666</v>
      </c>
      <c r="G78" s="46">
        <f>'CONFIABILIDAD MENSUAL 2018'!K18</f>
        <v>191</v>
      </c>
      <c r="H78" s="47">
        <f t="shared" ref="H78:N78" si="8">G94/G124</f>
        <v>0</v>
      </c>
      <c r="I78" s="47">
        <f t="shared" si="8"/>
        <v>0</v>
      </c>
      <c r="J78" s="47">
        <f t="shared" si="8"/>
        <v>0</v>
      </c>
      <c r="K78" s="47">
        <f t="shared" si="8"/>
        <v>0</v>
      </c>
      <c r="L78" s="47">
        <f t="shared" si="8"/>
        <v>0</v>
      </c>
      <c r="M78" s="47">
        <f t="shared" si="8"/>
        <v>0</v>
      </c>
      <c r="N78" s="47">
        <f t="shared" si="8"/>
        <v>0</v>
      </c>
      <c r="O78" s="18"/>
    </row>
    <row r="79" spans="1:15" x14ac:dyDescent="0.25">
      <c r="A79" s="171" t="s">
        <v>319</v>
      </c>
      <c r="B79" s="43" t="s">
        <v>103</v>
      </c>
      <c r="C79" s="45">
        <v>73</v>
      </c>
      <c r="D79" s="45">
        <v>75</v>
      </c>
      <c r="E79" s="45">
        <v>92</v>
      </c>
      <c r="F79" s="45">
        <v>157</v>
      </c>
      <c r="G79" s="45">
        <v>166</v>
      </c>
      <c r="H79" s="45">
        <v>167</v>
      </c>
      <c r="I79" s="45">
        <v>167</v>
      </c>
      <c r="J79" s="45">
        <v>167</v>
      </c>
      <c r="K79" s="45">
        <v>169</v>
      </c>
      <c r="L79" s="45">
        <v>194</v>
      </c>
      <c r="M79" s="45">
        <v>194</v>
      </c>
      <c r="N79" s="45">
        <v>194</v>
      </c>
      <c r="O79" s="18"/>
    </row>
    <row r="80" spans="1:15" x14ac:dyDescent="0.25">
      <c r="A80" s="172"/>
      <c r="B80" s="43" t="s">
        <v>104</v>
      </c>
      <c r="C80" s="46">
        <f>'CONFIABILIDAD MENSUAL 2018'!K19</f>
        <v>569.6</v>
      </c>
      <c r="D80" s="46">
        <f>'CONFIABILIDAD MENSUAL 2018'!K20</f>
        <v>159</v>
      </c>
      <c r="E80" s="46">
        <f>'CONFIABILIDAD MENSUAL 2018'!K21</f>
        <v>261.33333333333331</v>
      </c>
      <c r="F80" s="46">
        <f>'CONFIABILIDAD MENSUAL 2018'!K22</f>
        <v>512</v>
      </c>
      <c r="G80" s="46">
        <f>'CONFIABILIDAD MENSUAL 2018'!K23</f>
        <v>494.8235294117647</v>
      </c>
      <c r="H80" s="47" t="e">
        <f t="shared" ref="H80:N80" si="9">G95/G125</f>
        <v>#VALUE!</v>
      </c>
      <c r="I80" s="47" t="e">
        <f t="shared" si="9"/>
        <v>#VALUE!</v>
      </c>
      <c r="J80" s="47" t="e">
        <f t="shared" si="9"/>
        <v>#VALUE!</v>
      </c>
      <c r="K80" s="47" t="e">
        <f t="shared" si="9"/>
        <v>#VALUE!</v>
      </c>
      <c r="L80" s="47" t="e">
        <f t="shared" si="9"/>
        <v>#VALUE!</v>
      </c>
      <c r="M80" s="47" t="e">
        <f t="shared" si="9"/>
        <v>#VALUE!</v>
      </c>
      <c r="N80" s="47" t="e">
        <f t="shared" si="9"/>
        <v>#VALUE!</v>
      </c>
      <c r="O80" s="18"/>
    </row>
    <row r="81" spans="1:15" x14ac:dyDescent="0.25">
      <c r="A81" s="171" t="s">
        <v>1065</v>
      </c>
      <c r="B81" s="43" t="s">
        <v>103</v>
      </c>
      <c r="C81" s="45">
        <v>45</v>
      </c>
      <c r="D81" s="45">
        <v>83</v>
      </c>
      <c r="E81" s="45">
        <v>79</v>
      </c>
      <c r="F81" s="45">
        <v>83</v>
      </c>
      <c r="G81" s="45">
        <v>91</v>
      </c>
      <c r="H81" s="45">
        <v>93</v>
      </c>
      <c r="I81" s="45">
        <v>93</v>
      </c>
      <c r="J81" s="45">
        <v>98</v>
      </c>
      <c r="K81" s="45">
        <v>115</v>
      </c>
      <c r="L81" s="45">
        <v>147</v>
      </c>
      <c r="M81" s="45">
        <v>147</v>
      </c>
      <c r="N81" s="45">
        <v>147</v>
      </c>
      <c r="O81" s="18"/>
    </row>
    <row r="82" spans="1:15" x14ac:dyDescent="0.25">
      <c r="A82" s="172"/>
      <c r="B82" s="43" t="s">
        <v>104</v>
      </c>
      <c r="C82" s="153">
        <v>0</v>
      </c>
      <c r="D82" s="46">
        <f>'CONFIABILIDAD MENSUAL 2018'!K24</f>
        <v>320</v>
      </c>
      <c r="E82" s="153">
        <f>'CONFIABILIDAD MENSUAL 2018'!K25</f>
        <v>69</v>
      </c>
      <c r="F82" s="46">
        <f>'CONFIABILIDAD MENSUAL 2018'!K26</f>
        <v>130</v>
      </c>
      <c r="G82" s="46">
        <f>'CONFIABILIDAD MENSUAL 2018'!K27</f>
        <v>94.5</v>
      </c>
      <c r="H82" s="47">
        <f t="shared" ref="H82:N82" si="10">G96/G126</f>
        <v>3.2317486992211486E-2</v>
      </c>
      <c r="I82" s="47">
        <f t="shared" si="10"/>
        <v>1.4418571119602047E-2</v>
      </c>
      <c r="J82" s="47">
        <f t="shared" si="10"/>
        <v>1.7055791388720438E-2</v>
      </c>
      <c r="K82" s="47">
        <f t="shared" si="10"/>
        <v>4.600489324773635E-2</v>
      </c>
      <c r="L82" s="47">
        <f t="shared" si="10"/>
        <v>1.0174079177552021E-2</v>
      </c>
      <c r="M82" s="47">
        <f t="shared" si="10"/>
        <v>8.8875244406922113E-2</v>
      </c>
      <c r="N82" s="47">
        <f t="shared" si="10"/>
        <v>2.8518883699346378E-2</v>
      </c>
      <c r="O82" s="18"/>
    </row>
    <row r="83" spans="1:15" x14ac:dyDescent="0.25">
      <c r="A83" s="171" t="s">
        <v>1066</v>
      </c>
      <c r="B83" s="43" t="s">
        <v>103</v>
      </c>
      <c r="C83" s="45">
        <v>0</v>
      </c>
      <c r="D83" s="45">
        <v>0</v>
      </c>
      <c r="E83" s="45">
        <v>0</v>
      </c>
      <c r="F83" s="45">
        <v>0</v>
      </c>
      <c r="G83" s="45">
        <v>0</v>
      </c>
      <c r="H83" s="45">
        <v>0</v>
      </c>
      <c r="I83" s="45">
        <v>0</v>
      </c>
      <c r="J83" s="45">
        <v>0</v>
      </c>
      <c r="K83" s="45">
        <v>0</v>
      </c>
      <c r="L83" s="45">
        <v>0</v>
      </c>
      <c r="M83" s="45">
        <v>0</v>
      </c>
      <c r="N83" s="45">
        <v>0</v>
      </c>
      <c r="O83" s="18"/>
    </row>
    <row r="84" spans="1:15" x14ac:dyDescent="0.25">
      <c r="A84" s="172"/>
      <c r="B84" s="43" t="s">
        <v>104</v>
      </c>
      <c r="C84" s="47">
        <v>0</v>
      </c>
      <c r="D84" s="47">
        <v>0</v>
      </c>
      <c r="E84" s="47">
        <v>0</v>
      </c>
      <c r="F84" s="47">
        <v>0</v>
      </c>
      <c r="G84" s="47">
        <v>0</v>
      </c>
      <c r="H84" s="47">
        <v>0</v>
      </c>
      <c r="I84" s="47">
        <v>0</v>
      </c>
      <c r="J84" s="47">
        <v>0</v>
      </c>
      <c r="K84" s="47">
        <v>0</v>
      </c>
      <c r="L84" s="47">
        <v>0</v>
      </c>
      <c r="M84" s="47">
        <v>0</v>
      </c>
      <c r="N84" s="47">
        <v>0</v>
      </c>
      <c r="O84" s="18"/>
    </row>
    <row r="85" spans="1:15" x14ac:dyDescent="0.25">
      <c r="A85" s="171" t="s">
        <v>1067</v>
      </c>
      <c r="B85" s="43" t="s">
        <v>103</v>
      </c>
      <c r="C85" s="45">
        <v>0</v>
      </c>
      <c r="D85" s="45">
        <v>0</v>
      </c>
      <c r="E85" s="45">
        <v>0</v>
      </c>
      <c r="F85" s="45">
        <v>0</v>
      </c>
      <c r="G85" s="45">
        <v>0</v>
      </c>
      <c r="H85" s="45">
        <v>0</v>
      </c>
      <c r="I85" s="45">
        <v>0</v>
      </c>
      <c r="J85" s="45">
        <v>0</v>
      </c>
      <c r="K85" s="45">
        <v>0</v>
      </c>
      <c r="L85" s="45">
        <v>0</v>
      </c>
      <c r="M85" s="45">
        <v>0</v>
      </c>
      <c r="N85" s="45">
        <v>0</v>
      </c>
      <c r="O85" s="18"/>
    </row>
    <row r="86" spans="1:15" x14ac:dyDescent="0.25">
      <c r="A86" s="172"/>
      <c r="B86" s="43" t="s">
        <v>104</v>
      </c>
      <c r="C86" s="47">
        <v>0</v>
      </c>
      <c r="D86" s="47">
        <v>0</v>
      </c>
      <c r="E86" s="47">
        <v>0</v>
      </c>
      <c r="F86" s="47">
        <v>0</v>
      </c>
      <c r="G86" s="47">
        <v>0</v>
      </c>
      <c r="H86" s="47">
        <v>0</v>
      </c>
      <c r="I86" s="47">
        <v>0</v>
      </c>
      <c r="J86" s="47">
        <v>0</v>
      </c>
      <c r="K86" s="47">
        <v>0</v>
      </c>
      <c r="L86" s="47">
        <v>0</v>
      </c>
      <c r="M86" s="47">
        <v>0</v>
      </c>
      <c r="N86" s="47">
        <v>0</v>
      </c>
      <c r="O86" s="18"/>
    </row>
    <row r="87" spans="1:15" x14ac:dyDescent="0.25">
      <c r="A87" s="171" t="s">
        <v>1068</v>
      </c>
      <c r="B87" s="43" t="s">
        <v>103</v>
      </c>
      <c r="C87" s="45">
        <v>0</v>
      </c>
      <c r="D87" s="45">
        <v>0</v>
      </c>
      <c r="E87" s="45">
        <v>0</v>
      </c>
      <c r="F87" s="45">
        <v>0</v>
      </c>
      <c r="G87" s="45">
        <v>0</v>
      </c>
      <c r="H87" s="45">
        <v>0</v>
      </c>
      <c r="I87" s="45">
        <v>0</v>
      </c>
      <c r="J87" s="45">
        <v>0</v>
      </c>
      <c r="K87" s="45">
        <v>0</v>
      </c>
      <c r="L87" s="45">
        <v>0</v>
      </c>
      <c r="M87" s="45">
        <v>0</v>
      </c>
      <c r="N87" s="45">
        <v>0</v>
      </c>
      <c r="O87" s="18"/>
    </row>
    <row r="88" spans="1:15" x14ac:dyDescent="0.25">
      <c r="A88" s="172"/>
      <c r="B88" s="43" t="s">
        <v>104</v>
      </c>
      <c r="C88" s="47">
        <v>0</v>
      </c>
      <c r="D88" s="47">
        <v>0</v>
      </c>
      <c r="E88" s="47">
        <v>0</v>
      </c>
      <c r="F88" s="47">
        <v>0</v>
      </c>
      <c r="G88" s="47">
        <v>0</v>
      </c>
      <c r="H88" s="47">
        <v>0</v>
      </c>
      <c r="I88" s="47">
        <v>0</v>
      </c>
      <c r="J88" s="47">
        <v>0</v>
      </c>
      <c r="K88" s="47">
        <v>0</v>
      </c>
      <c r="L88" s="47">
        <v>0</v>
      </c>
      <c r="M88" s="47">
        <v>0</v>
      </c>
      <c r="N88" s="47">
        <v>0</v>
      </c>
      <c r="O88" s="18"/>
    </row>
    <row r="89" spans="1:15" x14ac:dyDescent="0.25">
      <c r="A89" s="171" t="s">
        <v>1069</v>
      </c>
      <c r="B89" s="43" t="s">
        <v>103</v>
      </c>
      <c r="C89" s="45">
        <v>0</v>
      </c>
      <c r="D89" s="45">
        <v>0</v>
      </c>
      <c r="E89" s="45">
        <v>0</v>
      </c>
      <c r="F89" s="45">
        <v>0</v>
      </c>
      <c r="G89" s="45">
        <v>0</v>
      </c>
      <c r="H89" s="45">
        <v>0</v>
      </c>
      <c r="I89" s="45">
        <v>0</v>
      </c>
      <c r="J89" s="45">
        <v>0</v>
      </c>
      <c r="K89" s="45">
        <v>0</v>
      </c>
      <c r="L89" s="45">
        <v>0</v>
      </c>
      <c r="M89" s="45">
        <v>0</v>
      </c>
      <c r="N89" s="45">
        <v>0</v>
      </c>
      <c r="O89" s="18"/>
    </row>
    <row r="90" spans="1:15" x14ac:dyDescent="0.25">
      <c r="A90" s="173"/>
      <c r="B90" s="43" t="s">
        <v>104</v>
      </c>
      <c r="C90" s="47">
        <v>0</v>
      </c>
      <c r="D90" s="47">
        <v>0</v>
      </c>
      <c r="E90" s="47">
        <v>0</v>
      </c>
      <c r="F90" s="47">
        <v>0</v>
      </c>
      <c r="G90" s="47">
        <v>0</v>
      </c>
      <c r="H90" s="47">
        <v>0</v>
      </c>
      <c r="I90" s="47">
        <v>0</v>
      </c>
      <c r="J90" s="47">
        <v>0</v>
      </c>
      <c r="K90" s="47">
        <v>0</v>
      </c>
      <c r="L90" s="47">
        <v>0</v>
      </c>
      <c r="M90" s="47">
        <v>0</v>
      </c>
      <c r="N90" s="47">
        <v>0</v>
      </c>
      <c r="O90" s="18"/>
    </row>
    <row r="94" spans="1:15" ht="18.75" x14ac:dyDescent="0.3">
      <c r="A94" s="176" t="s">
        <v>29</v>
      </c>
      <c r="B94" s="176"/>
    </row>
    <row r="95" spans="1:15" ht="30" x14ac:dyDescent="0.25">
      <c r="A95" s="38" t="s">
        <v>89</v>
      </c>
      <c r="B95" s="39"/>
      <c r="C95" s="40" t="s">
        <v>90</v>
      </c>
      <c r="D95" s="41" t="s">
        <v>91</v>
      </c>
      <c r="E95" s="41" t="s">
        <v>92</v>
      </c>
      <c r="F95" s="41" t="s">
        <v>93</v>
      </c>
      <c r="G95" s="41" t="s">
        <v>94</v>
      </c>
      <c r="H95" s="41" t="s">
        <v>95</v>
      </c>
      <c r="I95" s="41" t="s">
        <v>96</v>
      </c>
      <c r="J95" s="41" t="s">
        <v>97</v>
      </c>
      <c r="K95" s="41" t="s">
        <v>98</v>
      </c>
      <c r="L95" s="41" t="s">
        <v>99</v>
      </c>
      <c r="M95" s="41" t="s">
        <v>100</v>
      </c>
      <c r="N95" s="42" t="s">
        <v>101</v>
      </c>
      <c r="O95" s="40" t="s">
        <v>102</v>
      </c>
    </row>
    <row r="96" spans="1:15" x14ac:dyDescent="0.25">
      <c r="A96" s="177" t="s">
        <v>1062</v>
      </c>
      <c r="B96" s="43" t="s">
        <v>103</v>
      </c>
      <c r="C96" s="44">
        <v>13</v>
      </c>
      <c r="D96" s="45">
        <f>25-C96</f>
        <v>12</v>
      </c>
      <c r="E96" s="45">
        <f>43-D96-C96</f>
        <v>18</v>
      </c>
      <c r="F96" s="45">
        <f>83-E96-D96-C96</f>
        <v>40</v>
      </c>
      <c r="G96" s="45">
        <f>103-F96-E96-D96-C96</f>
        <v>20</v>
      </c>
      <c r="H96" s="45">
        <f>111-G96-F96-E96-D96-C96</f>
        <v>8</v>
      </c>
      <c r="I96" s="45">
        <f>120-H96-G96-F96-E96-D96-C96</f>
        <v>9</v>
      </c>
      <c r="J96" s="45">
        <f>142-I96-H96-G96-F96-E96-D96-C96</f>
        <v>22</v>
      </c>
      <c r="K96" s="45">
        <f>147-J96-I96-H96-G96-F96-E96-D96-C96</f>
        <v>5</v>
      </c>
      <c r="L96" s="45">
        <v>45</v>
      </c>
      <c r="M96" s="45">
        <v>14</v>
      </c>
      <c r="N96" s="45">
        <v>14</v>
      </c>
      <c r="O96" s="18">
        <f>SUM(C96:N96)</f>
        <v>220</v>
      </c>
    </row>
    <row r="97" spans="1:15" x14ac:dyDescent="0.25">
      <c r="A97" s="178"/>
      <c r="B97" s="43" t="s">
        <v>104</v>
      </c>
      <c r="C97" s="47">
        <f>GETPIVOTDATA("NI",'CONFIABILIDAD MENSUAL 2018'!$A$3,"Mes","ENERO","Area","AREA FORANEA")</f>
        <v>8</v>
      </c>
      <c r="D97" s="47">
        <f>GETPIVOTDATA("NI",'CONFIABILIDAD MENSUAL 2018'!$A$3,"Mes","FEBRERO","Area","AREA FORANEA")</f>
        <v>7</v>
      </c>
      <c r="E97" s="47">
        <f>GETPIVOTDATA("NI",'CONFIABILIDAD MENSUAL 2018'!$A$3,"Mes","MARZO","Area","AREA FORANEA")</f>
        <v>12</v>
      </c>
      <c r="F97" s="47">
        <f>GETPIVOTDATA("NI",'CONFIABILIDAD MENSUAL 2018'!$A$3,"Mes","ABRIL","Area","AREA FORANEA")</f>
        <v>15</v>
      </c>
      <c r="G97" s="46">
        <f>GETPIVOTDATA("NI",'CONFIABILIDAD MENSUAL 2018'!$A$3,"Mes","MAYO","Area","AREA FORANEA")</f>
        <v>30</v>
      </c>
      <c r="H97" s="47">
        <f>'[2]TPR POR AREA TXT'!G133</f>
        <v>0</v>
      </c>
      <c r="I97" s="47">
        <f>'[2]TPR POR AREA TXT'!H133</f>
        <v>0</v>
      </c>
      <c r="J97" s="47">
        <f>'[2]TPR POR AREA TXT'!I133</f>
        <v>0</v>
      </c>
      <c r="K97" s="47">
        <f>'[2]TPR POR AREA TXT'!J133</f>
        <v>0</v>
      </c>
      <c r="L97" s="47">
        <f>'[2]TPR POR AREA TXT'!K133</f>
        <v>0</v>
      </c>
      <c r="M97" s="47">
        <f>'[2]TPR POR AREA TXT'!L133</f>
        <v>0</v>
      </c>
      <c r="N97" s="47">
        <f>'[2]TPR POR AREA TXT'!M133</f>
        <v>0</v>
      </c>
      <c r="O97" s="18">
        <f t="shared" ref="O97:O113" si="11">SUM(C97:N97)</f>
        <v>72</v>
      </c>
    </row>
    <row r="98" spans="1:15" x14ac:dyDescent="0.25">
      <c r="A98" s="177" t="s">
        <v>1063</v>
      </c>
      <c r="B98" s="43" t="s">
        <v>103</v>
      </c>
      <c r="C98" s="45">
        <v>20</v>
      </c>
      <c r="D98" s="45">
        <v>15</v>
      </c>
      <c r="E98" s="45">
        <v>17</v>
      </c>
      <c r="F98" s="45">
        <v>45</v>
      </c>
      <c r="G98" s="45">
        <v>23</v>
      </c>
      <c r="H98" s="45">
        <v>12</v>
      </c>
      <c r="I98" s="45">
        <v>14</v>
      </c>
      <c r="J98" s="45">
        <v>24</v>
      </c>
      <c r="K98" s="45">
        <v>12</v>
      </c>
      <c r="L98" s="45">
        <v>47</v>
      </c>
      <c r="M98" s="45">
        <v>15</v>
      </c>
      <c r="N98" s="45">
        <v>18</v>
      </c>
      <c r="O98" s="18">
        <f t="shared" si="11"/>
        <v>262</v>
      </c>
    </row>
    <row r="99" spans="1:15" x14ac:dyDescent="0.25">
      <c r="A99" s="178"/>
      <c r="B99" s="43" t="s">
        <v>104</v>
      </c>
      <c r="C99" s="47">
        <f>GETPIVOTDATA("NI",'CONFIABILIDAD MENSUAL 2018'!$A$3,"Mes","ENERO","Area","AREA URBANA")</f>
        <v>8</v>
      </c>
      <c r="D99" s="47">
        <f>GETPIVOTDATA("NI",'CONFIABILIDAD MENSUAL 2018'!$A$3,"Mes","FEBRERO","Area","AREA URBANA")</f>
        <v>5</v>
      </c>
      <c r="E99" s="47">
        <f>GETPIVOTDATA("NI",'CONFIABILIDAD MENSUAL 2018'!$A$3,"Mes","MARZO","Area","AREA URBANA")</f>
        <v>20</v>
      </c>
      <c r="F99" s="47">
        <f>GETPIVOTDATA("NI",'CONFIABILIDAD MENSUAL 2018'!$A$3,"Mes","ABRIL","Area","AREA URBANA")</f>
        <v>18</v>
      </c>
      <c r="G99" s="46">
        <f>GETPIVOTDATA("NI",'CONFIABILIDAD MENSUAL 2018'!$A$3,"Mes","MAYO","Area","AREA URBANA")</f>
        <v>25</v>
      </c>
      <c r="H99" s="47">
        <f>'[2]TPR POR AREA TXT'!G134</f>
        <v>0</v>
      </c>
      <c r="I99" s="47">
        <f>'[2]TPR POR AREA TXT'!H134</f>
        <v>0</v>
      </c>
      <c r="J99" s="47">
        <f>'[2]TPR POR AREA TXT'!I134</f>
        <v>0</v>
      </c>
      <c r="K99" s="47">
        <f>'[2]TPR POR AREA TXT'!J134</f>
        <v>0</v>
      </c>
      <c r="L99" s="47">
        <f>'[2]TPR POR AREA TXT'!K134</f>
        <v>0</v>
      </c>
      <c r="M99" s="47">
        <f>'[2]TPR POR AREA TXT'!L134</f>
        <v>0</v>
      </c>
      <c r="N99" s="47">
        <f>'[2]TPR POR AREA TXT'!M134</f>
        <v>0</v>
      </c>
      <c r="O99" s="18">
        <f t="shared" si="11"/>
        <v>76</v>
      </c>
    </row>
    <row r="100" spans="1:15" x14ac:dyDescent="0.25">
      <c r="A100" s="171" t="s">
        <v>1064</v>
      </c>
      <c r="B100" s="43" t="s">
        <v>103</v>
      </c>
      <c r="C100" s="45">
        <v>12</v>
      </c>
      <c r="D100" s="45">
        <f>25-C100</f>
        <v>13</v>
      </c>
      <c r="E100" s="45">
        <f>43-D100-C100</f>
        <v>18</v>
      </c>
      <c r="F100" s="45">
        <f>83-E100-D100-C100</f>
        <v>40</v>
      </c>
      <c r="G100" s="45">
        <f>103-F100-E100-D100-C100</f>
        <v>20</v>
      </c>
      <c r="H100" s="45">
        <f>111-G100-F100-E100-D100-C100</f>
        <v>8</v>
      </c>
      <c r="I100" s="45">
        <f>120-H100-G100-F100-E100-D100-C100</f>
        <v>9</v>
      </c>
      <c r="J100" s="45">
        <f>142-I100-H100-G100-F100-E100-D100-C100</f>
        <v>22</v>
      </c>
      <c r="K100" s="45">
        <f>147-J100-I100-H100-G100-F100-E100-D100-C100</f>
        <v>5</v>
      </c>
      <c r="L100" s="45">
        <v>39</v>
      </c>
      <c r="M100" s="45">
        <v>14</v>
      </c>
      <c r="N100" s="45">
        <v>14</v>
      </c>
      <c r="O100" s="18">
        <f t="shared" si="11"/>
        <v>214</v>
      </c>
    </row>
    <row r="101" spans="1:15" x14ac:dyDescent="0.25">
      <c r="A101" s="172"/>
      <c r="B101" s="43" t="s">
        <v>104</v>
      </c>
      <c r="C101" s="47">
        <f>GETPIVOTDATA("NI",'CONFIABILIDAD MENSUAL 2018'!$A$3,"Mes","ENERO","Area","AREA VILLAFLORES")</f>
        <v>4</v>
      </c>
      <c r="D101" s="47">
        <f>GETPIVOTDATA("NI",'CONFIABILIDAD MENSUAL 2018'!$A$3,"Mes","FEBRERO","Area","AREA VILLAFLORES")</f>
        <v>5</v>
      </c>
      <c r="E101" s="47">
        <f>GETPIVOTDATA("NI",'CONFIABILIDAD MENSUAL 2018'!$A$3,"Mes","MARZO","Area","AREA VILLAFLORES")</f>
        <v>12</v>
      </c>
      <c r="F101" s="47">
        <f>GETPIVOTDATA("NI",'CONFIABILIDAD MENSUAL 2018'!$A$3,"Mes","ABRIL","Area","AREA VILLAFLORES")</f>
        <v>9</v>
      </c>
      <c r="G101" s="47">
        <f>GETPIVOTDATA("NI",'CONFIABILIDAD MENSUAL 2018'!$A$3,"Mes","MAYO","Area","AREA VILLAFLORES")</f>
        <v>11</v>
      </c>
      <c r="H101" s="47">
        <f>'[2]TPR POR AREA TXT'!G135</f>
        <v>0</v>
      </c>
      <c r="I101" s="47">
        <f>'[2]TPR POR AREA TXT'!H135</f>
        <v>0</v>
      </c>
      <c r="J101" s="47">
        <f>'[2]TPR POR AREA TXT'!I135</f>
        <v>0</v>
      </c>
      <c r="K101" s="47">
        <f>'[2]TPR POR AREA TXT'!J135</f>
        <v>0</v>
      </c>
      <c r="L101" s="47">
        <f>'[2]TPR POR AREA TXT'!K135</f>
        <v>0</v>
      </c>
      <c r="M101" s="47">
        <f>'[2]TPR POR AREA TXT'!L135</f>
        <v>0</v>
      </c>
      <c r="N101" s="47">
        <f>'[2]TPR POR AREA TXT'!M135</f>
        <v>0</v>
      </c>
      <c r="O101" s="18">
        <f t="shared" si="11"/>
        <v>41</v>
      </c>
    </row>
    <row r="102" spans="1:15" x14ac:dyDescent="0.25">
      <c r="A102" s="171" t="s">
        <v>319</v>
      </c>
      <c r="B102" s="43" t="s">
        <v>103</v>
      </c>
      <c r="C102" s="45">
        <v>17</v>
      </c>
      <c r="D102" s="45">
        <f>25-C102</f>
        <v>8</v>
      </c>
      <c r="E102" s="45">
        <f>43-D102-C102</f>
        <v>18</v>
      </c>
      <c r="F102" s="45">
        <f>83-E102-D102-C102</f>
        <v>40</v>
      </c>
      <c r="G102" s="45">
        <f>103-F102-E102-D102-C102</f>
        <v>20</v>
      </c>
      <c r="H102" s="45">
        <f>111-G102-F102-E102-D102-C102</f>
        <v>8</v>
      </c>
      <c r="I102" s="45">
        <f>120-H102-G102-F102-E102-D102-C102</f>
        <v>9</v>
      </c>
      <c r="J102" s="45">
        <f>142-I102-H102-G102-F102-E102-D102-C102</f>
        <v>22</v>
      </c>
      <c r="K102" s="45">
        <f>147-J102-I102-H102-G102-F102-E102-D102-C102</f>
        <v>5</v>
      </c>
      <c r="L102" s="45">
        <v>38</v>
      </c>
      <c r="M102" s="45">
        <v>14</v>
      </c>
      <c r="N102" s="45">
        <v>14</v>
      </c>
      <c r="O102" s="18">
        <f t="shared" si="11"/>
        <v>213</v>
      </c>
    </row>
    <row r="103" spans="1:15" x14ac:dyDescent="0.25">
      <c r="A103" s="172"/>
      <c r="B103" s="43" t="s">
        <v>104</v>
      </c>
      <c r="C103" s="47">
        <f>GETPIVOTDATA("NI",'CONFIABILIDAD MENSUAL 2018'!$A$3,"Mes","ENERO","Area","AREA CINTALAPA")</f>
        <v>5</v>
      </c>
      <c r="D103" s="47">
        <f>GETPIVOTDATA("NI",'CONFIABILIDAD MENSUAL 2018'!$A$3,"Mes","FEBRERO","Area","AREA CINTALAPA")</f>
        <v>2</v>
      </c>
      <c r="E103" s="47">
        <f>GETPIVOTDATA("NI",'CONFIABILIDAD MENSUAL 2018'!$A$3,"Mes","MARZO","Area","AREA CINTALAPA")</f>
        <v>6</v>
      </c>
      <c r="F103" s="47">
        <f>GETPIVOTDATA("NI",'CONFIABILIDAD MENSUAL 2018'!$A$3,"Mes","ABRIL","Area","AREA CINTALAPA")</f>
        <v>2</v>
      </c>
      <c r="G103" s="47">
        <f>GETPIVOTDATA("NI",'CONFIABILIDAD MENSUAL 2018'!$A$3,"Mes","MAYO","Area","AREA CINTALAPA")</f>
        <v>17</v>
      </c>
      <c r="H103" s="47">
        <f>'[2]TPR POR AREA TXT'!G136</f>
        <v>0</v>
      </c>
      <c r="I103" s="47">
        <f>'[2]TPR POR AREA TXT'!H136</f>
        <v>0</v>
      </c>
      <c r="J103" s="47">
        <f>'[2]TPR POR AREA TXT'!I136</f>
        <v>0</v>
      </c>
      <c r="K103" s="47">
        <f>'[2]TPR POR AREA TXT'!J136</f>
        <v>0</v>
      </c>
      <c r="L103" s="47">
        <f>'[2]TPR POR AREA TXT'!K136</f>
        <v>0</v>
      </c>
      <c r="M103" s="47">
        <f>'[2]TPR POR AREA TXT'!L136</f>
        <v>0</v>
      </c>
      <c r="N103" s="47">
        <f>'[2]TPR POR AREA TXT'!M136</f>
        <v>0</v>
      </c>
      <c r="O103" s="18">
        <f t="shared" si="11"/>
        <v>32</v>
      </c>
    </row>
    <row r="104" spans="1:15" x14ac:dyDescent="0.25">
      <c r="A104" s="171" t="s">
        <v>1065</v>
      </c>
      <c r="B104" s="43" t="s">
        <v>103</v>
      </c>
      <c r="C104" s="45">
        <v>13</v>
      </c>
      <c r="D104" s="45">
        <v>12</v>
      </c>
      <c r="E104" s="45">
        <v>15</v>
      </c>
      <c r="F104" s="45">
        <v>32</v>
      </c>
      <c r="G104" s="45">
        <v>12</v>
      </c>
      <c r="H104" s="45">
        <v>14</v>
      </c>
      <c r="I104" s="45">
        <v>15</v>
      </c>
      <c r="J104" s="45">
        <v>14</v>
      </c>
      <c r="K104" s="45">
        <v>11</v>
      </c>
      <c r="L104" s="45">
        <v>19</v>
      </c>
      <c r="M104" s="45">
        <v>9</v>
      </c>
      <c r="N104" s="45">
        <v>7</v>
      </c>
      <c r="O104" s="18">
        <f t="shared" si="11"/>
        <v>173</v>
      </c>
    </row>
    <row r="105" spans="1:15" x14ac:dyDescent="0.25">
      <c r="A105" s="172"/>
      <c r="B105" s="43" t="s">
        <v>104</v>
      </c>
      <c r="C105" s="47">
        <f>'[2]TPR POR AREA TXT'!B137</f>
        <v>0</v>
      </c>
      <c r="D105" s="47">
        <f>GETPIVOTDATA("NI",'CONFIABILIDAD MENSUAL 2018'!$A$3,"Mes","FEBRERO","Area","AREA BOCHIL")</f>
        <v>1</v>
      </c>
      <c r="E105" s="47">
        <f>GETPIVOTDATA("NI",'CONFIABILIDAD MENSUAL 2018'!$A$3,"Mes","MARZO","Area","AREA BOCHIL")</f>
        <v>1</v>
      </c>
      <c r="F105" s="47">
        <f>GETPIVOTDATA("NI",'CONFIABILIDAD MENSUAL 2018'!$A$3,"Mes","ABRIL","Area","AREA BOCHIL")</f>
        <v>1</v>
      </c>
      <c r="G105" s="47">
        <f>GETPIVOTDATA("NI",'CONFIABILIDAD MENSUAL 2018'!$A$3,"Mes","MAYO","Area","AREA BOCHIL")</f>
        <v>2</v>
      </c>
      <c r="H105" s="47">
        <f>'[2]TPR POR AREA TXT'!G137</f>
        <v>0</v>
      </c>
      <c r="I105" s="47">
        <f>'[2]TPR POR AREA TXT'!H137</f>
        <v>0</v>
      </c>
      <c r="J105" s="47">
        <f>'[2]TPR POR AREA TXT'!I137</f>
        <v>0</v>
      </c>
      <c r="K105" s="47">
        <f>'[2]TPR POR AREA TXT'!J137</f>
        <v>0</v>
      </c>
      <c r="L105" s="47">
        <f>'[2]TPR POR AREA TXT'!K137</f>
        <v>0</v>
      </c>
      <c r="M105" s="47">
        <f>'[2]TPR POR AREA TXT'!L137</f>
        <v>0</v>
      </c>
      <c r="N105" s="47">
        <f>'[2]TPR POR AREA TXT'!M137</f>
        <v>0</v>
      </c>
      <c r="O105" s="18">
        <f t="shared" si="11"/>
        <v>5</v>
      </c>
    </row>
    <row r="106" spans="1:15" x14ac:dyDescent="0.25">
      <c r="A106" s="171" t="s">
        <v>1066</v>
      </c>
      <c r="B106" s="43" t="s">
        <v>103</v>
      </c>
      <c r="C106" s="45">
        <v>0</v>
      </c>
      <c r="D106" s="45">
        <v>0</v>
      </c>
      <c r="E106" s="45">
        <v>0</v>
      </c>
      <c r="F106" s="45">
        <v>0</v>
      </c>
      <c r="G106" s="45">
        <v>0</v>
      </c>
      <c r="H106" s="45">
        <v>0</v>
      </c>
      <c r="I106" s="45">
        <v>0</v>
      </c>
      <c r="J106" s="45">
        <v>0</v>
      </c>
      <c r="K106" s="45">
        <v>0</v>
      </c>
      <c r="L106" s="45">
        <v>0</v>
      </c>
      <c r="M106" s="45">
        <v>0</v>
      </c>
      <c r="N106" s="45">
        <v>0</v>
      </c>
      <c r="O106" s="18">
        <f t="shared" si="11"/>
        <v>0</v>
      </c>
    </row>
    <row r="107" spans="1:15" x14ac:dyDescent="0.25">
      <c r="A107" s="172"/>
      <c r="B107" s="43" t="s">
        <v>104</v>
      </c>
      <c r="C107" s="47">
        <v>0</v>
      </c>
      <c r="D107" s="47">
        <v>0</v>
      </c>
      <c r="E107" s="47">
        <v>0</v>
      </c>
      <c r="F107" s="47">
        <v>0</v>
      </c>
      <c r="G107" s="47">
        <v>0</v>
      </c>
      <c r="H107" s="47">
        <v>0</v>
      </c>
      <c r="I107" s="47">
        <v>0</v>
      </c>
      <c r="J107" s="47">
        <v>0</v>
      </c>
      <c r="K107" s="47">
        <v>0</v>
      </c>
      <c r="L107" s="47">
        <v>0</v>
      </c>
      <c r="M107" s="47">
        <v>0</v>
      </c>
      <c r="N107" s="47">
        <v>0</v>
      </c>
      <c r="O107" s="18">
        <f t="shared" si="11"/>
        <v>0</v>
      </c>
    </row>
    <row r="108" spans="1:15" x14ac:dyDescent="0.25">
      <c r="A108" s="171" t="s">
        <v>1067</v>
      </c>
      <c r="B108" s="43" t="s">
        <v>103</v>
      </c>
      <c r="C108" s="45">
        <v>0</v>
      </c>
      <c r="D108" s="45">
        <v>0</v>
      </c>
      <c r="E108" s="45">
        <v>0</v>
      </c>
      <c r="F108" s="45">
        <v>0</v>
      </c>
      <c r="G108" s="45">
        <v>0</v>
      </c>
      <c r="H108" s="45">
        <v>0</v>
      </c>
      <c r="I108" s="45">
        <v>0</v>
      </c>
      <c r="J108" s="45">
        <v>0</v>
      </c>
      <c r="K108" s="45">
        <v>0</v>
      </c>
      <c r="L108" s="45">
        <v>0</v>
      </c>
      <c r="M108" s="45">
        <v>0</v>
      </c>
      <c r="N108" s="45">
        <v>0</v>
      </c>
      <c r="O108" s="18">
        <f t="shared" si="11"/>
        <v>0</v>
      </c>
    </row>
    <row r="109" spans="1:15" x14ac:dyDescent="0.25">
      <c r="A109" s="172"/>
      <c r="B109" s="43" t="s">
        <v>104</v>
      </c>
      <c r="C109" s="47">
        <v>0</v>
      </c>
      <c r="D109" s="47">
        <v>0</v>
      </c>
      <c r="E109" s="47">
        <v>0</v>
      </c>
      <c r="F109" s="47">
        <v>0</v>
      </c>
      <c r="G109" s="47">
        <v>0</v>
      </c>
      <c r="H109" s="47">
        <v>0</v>
      </c>
      <c r="I109" s="47">
        <v>0</v>
      </c>
      <c r="J109" s="47">
        <v>0</v>
      </c>
      <c r="K109" s="47">
        <v>0</v>
      </c>
      <c r="L109" s="47">
        <v>0</v>
      </c>
      <c r="M109" s="47">
        <v>0</v>
      </c>
      <c r="N109" s="47">
        <v>0</v>
      </c>
      <c r="O109" s="18">
        <f t="shared" si="11"/>
        <v>0</v>
      </c>
    </row>
    <row r="110" spans="1:15" x14ac:dyDescent="0.25">
      <c r="A110" s="171" t="s">
        <v>1068</v>
      </c>
      <c r="B110" s="43" t="s">
        <v>103</v>
      </c>
      <c r="C110" s="45">
        <v>0</v>
      </c>
      <c r="D110" s="45">
        <v>0</v>
      </c>
      <c r="E110" s="45">
        <v>0</v>
      </c>
      <c r="F110" s="45">
        <v>0</v>
      </c>
      <c r="G110" s="45">
        <v>0</v>
      </c>
      <c r="H110" s="45">
        <v>0</v>
      </c>
      <c r="I110" s="45">
        <v>0</v>
      </c>
      <c r="J110" s="45">
        <v>0</v>
      </c>
      <c r="K110" s="45">
        <v>0</v>
      </c>
      <c r="L110" s="45">
        <v>0</v>
      </c>
      <c r="M110" s="45">
        <v>0</v>
      </c>
      <c r="N110" s="45">
        <v>0</v>
      </c>
      <c r="O110" s="18">
        <f t="shared" si="11"/>
        <v>0</v>
      </c>
    </row>
    <row r="111" spans="1:15" x14ac:dyDescent="0.25">
      <c r="A111" s="172"/>
      <c r="B111" s="43" t="s">
        <v>104</v>
      </c>
      <c r="C111" s="47">
        <v>0</v>
      </c>
      <c r="D111" s="47">
        <v>0</v>
      </c>
      <c r="E111" s="47">
        <v>0</v>
      </c>
      <c r="F111" s="47">
        <v>0</v>
      </c>
      <c r="G111" s="47">
        <v>0</v>
      </c>
      <c r="H111" s="47">
        <v>0</v>
      </c>
      <c r="I111" s="47">
        <v>0</v>
      </c>
      <c r="J111" s="47">
        <v>0</v>
      </c>
      <c r="K111" s="47">
        <v>0</v>
      </c>
      <c r="L111" s="47">
        <v>0</v>
      </c>
      <c r="M111" s="47">
        <v>0</v>
      </c>
      <c r="N111" s="47">
        <v>0</v>
      </c>
      <c r="O111" s="18">
        <f t="shared" si="11"/>
        <v>0</v>
      </c>
    </row>
    <row r="112" spans="1:15" x14ac:dyDescent="0.25">
      <c r="A112" s="171" t="s">
        <v>1069</v>
      </c>
      <c r="B112" s="43" t="s">
        <v>103</v>
      </c>
      <c r="C112" s="45">
        <v>0</v>
      </c>
      <c r="D112" s="45">
        <v>0</v>
      </c>
      <c r="E112" s="45">
        <v>0</v>
      </c>
      <c r="F112" s="45">
        <v>0</v>
      </c>
      <c r="G112" s="45">
        <v>0</v>
      </c>
      <c r="H112" s="45">
        <v>0</v>
      </c>
      <c r="I112" s="45">
        <v>0</v>
      </c>
      <c r="J112" s="45">
        <v>0</v>
      </c>
      <c r="K112" s="45">
        <v>0</v>
      </c>
      <c r="L112" s="45">
        <v>0</v>
      </c>
      <c r="M112" s="45">
        <v>0</v>
      </c>
      <c r="N112" s="45">
        <v>0</v>
      </c>
      <c r="O112" s="18">
        <f t="shared" si="11"/>
        <v>0</v>
      </c>
    </row>
    <row r="113" spans="1:15" x14ac:dyDescent="0.25">
      <c r="A113" s="173"/>
      <c r="B113" s="43" t="s">
        <v>104</v>
      </c>
      <c r="C113" s="47">
        <v>0</v>
      </c>
      <c r="D113" s="47">
        <v>0</v>
      </c>
      <c r="E113" s="47">
        <v>0</v>
      </c>
      <c r="F113" s="47">
        <v>0</v>
      </c>
      <c r="G113" s="47">
        <v>0</v>
      </c>
      <c r="H113" s="47">
        <v>0</v>
      </c>
      <c r="I113" s="47">
        <v>0</v>
      </c>
      <c r="J113" s="47">
        <v>0</v>
      </c>
      <c r="K113" s="47">
        <v>0</v>
      </c>
      <c r="L113" s="47">
        <v>0</v>
      </c>
      <c r="M113" s="47">
        <v>0</v>
      </c>
      <c r="N113" s="47">
        <v>0</v>
      </c>
      <c r="O113" s="18">
        <f t="shared" si="11"/>
        <v>0</v>
      </c>
    </row>
    <row r="114" spans="1:15" x14ac:dyDescent="0.25">
      <c r="A114" s="174" t="s">
        <v>1072</v>
      </c>
      <c r="B114" s="143" t="s">
        <v>103</v>
      </c>
      <c r="C114" s="144">
        <f>C96+C98+C100+C102+C104+C106+C108+C110+C112</f>
        <v>75</v>
      </c>
      <c r="D114" s="144">
        <f t="shared" ref="D114:N115" si="12">D96+D98+D100+D102+D104+D106+D108+D110+D112+C114</f>
        <v>135</v>
      </c>
      <c r="E114" s="144">
        <f t="shared" si="12"/>
        <v>221</v>
      </c>
      <c r="F114" s="144">
        <f t="shared" si="12"/>
        <v>418</v>
      </c>
      <c r="G114" s="144">
        <f t="shared" si="12"/>
        <v>513</v>
      </c>
      <c r="H114" s="144">
        <f t="shared" si="12"/>
        <v>563</v>
      </c>
      <c r="I114" s="144">
        <f t="shared" si="12"/>
        <v>619</v>
      </c>
      <c r="J114" s="144">
        <f t="shared" si="12"/>
        <v>723</v>
      </c>
      <c r="K114" s="144">
        <f t="shared" si="12"/>
        <v>761</v>
      </c>
      <c r="L114" s="144">
        <f t="shared" si="12"/>
        <v>949</v>
      </c>
      <c r="M114" s="144">
        <f t="shared" si="12"/>
        <v>1015</v>
      </c>
      <c r="N114" s="144">
        <f t="shared" si="12"/>
        <v>1082</v>
      </c>
      <c r="O114" s="145"/>
    </row>
    <row r="115" spans="1:15" x14ac:dyDescent="0.25">
      <c r="A115" s="174"/>
      <c r="B115" s="143" t="s">
        <v>104</v>
      </c>
      <c r="C115" s="146">
        <f>C97+C99+C101+C103+C105+C107+C109+C111+C113</f>
        <v>25</v>
      </c>
      <c r="D115" s="146">
        <f t="shared" si="12"/>
        <v>45</v>
      </c>
      <c r="E115" s="146">
        <f t="shared" si="12"/>
        <v>96</v>
      </c>
      <c r="F115" s="146">
        <f t="shared" si="12"/>
        <v>141</v>
      </c>
      <c r="G115" s="146">
        <f t="shared" si="12"/>
        <v>226</v>
      </c>
      <c r="H115" s="146">
        <f t="shared" si="12"/>
        <v>226</v>
      </c>
      <c r="I115" s="146">
        <f t="shared" si="12"/>
        <v>226</v>
      </c>
      <c r="J115" s="146">
        <f t="shared" si="12"/>
        <v>226</v>
      </c>
      <c r="K115" s="146">
        <f t="shared" si="12"/>
        <v>226</v>
      </c>
      <c r="L115" s="146">
        <f t="shared" si="12"/>
        <v>226</v>
      </c>
      <c r="M115" s="146">
        <f t="shared" si="12"/>
        <v>226</v>
      </c>
      <c r="N115" s="146">
        <f t="shared" si="12"/>
        <v>226</v>
      </c>
      <c r="O115" s="145"/>
    </row>
    <row r="116" spans="1:15" x14ac:dyDescent="0.25">
      <c r="A116" s="175" t="s">
        <v>1071</v>
      </c>
      <c r="B116" s="147" t="s">
        <v>103</v>
      </c>
      <c r="C116" s="148">
        <f>C96+C98+C100+C102+C104+C106+C108+C110+C112</f>
        <v>75</v>
      </c>
      <c r="D116" s="148">
        <f t="shared" ref="D116:N117" si="13">D96+D98+D100+D102+D104+D106+D108+D110+D112</f>
        <v>60</v>
      </c>
      <c r="E116" s="148">
        <f t="shared" si="13"/>
        <v>86</v>
      </c>
      <c r="F116" s="148">
        <f t="shared" si="13"/>
        <v>197</v>
      </c>
      <c r="G116" s="148">
        <f t="shared" si="13"/>
        <v>95</v>
      </c>
      <c r="H116" s="148">
        <f t="shared" si="13"/>
        <v>50</v>
      </c>
      <c r="I116" s="148">
        <f t="shared" si="13"/>
        <v>56</v>
      </c>
      <c r="J116" s="148">
        <f t="shared" si="13"/>
        <v>104</v>
      </c>
      <c r="K116" s="148">
        <f t="shared" si="13"/>
        <v>38</v>
      </c>
      <c r="L116" s="148">
        <f t="shared" si="13"/>
        <v>188</v>
      </c>
      <c r="M116" s="148">
        <f t="shared" si="13"/>
        <v>66</v>
      </c>
      <c r="N116" s="148">
        <f>N96+N98+N100+N102+N104+N106+N108+N110+N112</f>
        <v>67</v>
      </c>
      <c r="O116" s="149">
        <f>O96+O98+O100+O102+O104+O106+O108+O110+O112</f>
        <v>1082</v>
      </c>
    </row>
    <row r="117" spans="1:15" x14ac:dyDescent="0.25">
      <c r="A117" s="175"/>
      <c r="B117" s="147" t="s">
        <v>104</v>
      </c>
      <c r="C117" s="148">
        <f>C97+C99+C101+C103+C105+C107+C109+C111+C113</f>
        <v>25</v>
      </c>
      <c r="D117" s="148">
        <f t="shared" si="13"/>
        <v>20</v>
      </c>
      <c r="E117" s="148">
        <f t="shared" si="13"/>
        <v>51</v>
      </c>
      <c r="F117" s="148">
        <f t="shared" si="13"/>
        <v>45</v>
      </c>
      <c r="G117" s="148">
        <f t="shared" si="13"/>
        <v>85</v>
      </c>
      <c r="H117" s="148">
        <f t="shared" si="13"/>
        <v>0</v>
      </c>
      <c r="I117" s="148">
        <f t="shared" si="13"/>
        <v>0</v>
      </c>
      <c r="J117" s="148">
        <f t="shared" si="13"/>
        <v>0</v>
      </c>
      <c r="K117" s="148">
        <f t="shared" si="13"/>
        <v>0</v>
      </c>
      <c r="L117" s="148">
        <f t="shared" si="13"/>
        <v>0</v>
      </c>
      <c r="M117" s="148">
        <f t="shared" si="13"/>
        <v>0</v>
      </c>
      <c r="N117" s="148">
        <f t="shared" si="13"/>
        <v>0</v>
      </c>
      <c r="O117" s="149">
        <f>O97+O99+O101+O103+O105+O107+O109+O111+O113</f>
        <v>226</v>
      </c>
    </row>
    <row r="120" spans="1:15" ht="18.75" x14ac:dyDescent="0.3">
      <c r="A120" s="176" t="s">
        <v>31</v>
      </c>
      <c r="B120" s="176"/>
    </row>
    <row r="121" spans="1:15" ht="30" x14ac:dyDescent="0.25">
      <c r="A121" s="38" t="s">
        <v>89</v>
      </c>
      <c r="B121" s="39"/>
      <c r="C121" s="40" t="s">
        <v>90</v>
      </c>
      <c r="D121" s="41" t="s">
        <v>91</v>
      </c>
      <c r="E121" s="41" t="s">
        <v>92</v>
      </c>
      <c r="F121" s="41" t="s">
        <v>93</v>
      </c>
      <c r="G121" s="41" t="s">
        <v>94</v>
      </c>
      <c r="H121" s="41" t="s">
        <v>95</v>
      </c>
      <c r="I121" s="41" t="s">
        <v>96</v>
      </c>
      <c r="J121" s="41" t="s">
        <v>97</v>
      </c>
      <c r="K121" s="41" t="s">
        <v>98</v>
      </c>
      <c r="L121" s="41" t="s">
        <v>99</v>
      </c>
      <c r="M121" s="41" t="s">
        <v>100</v>
      </c>
      <c r="N121" s="42" t="s">
        <v>101</v>
      </c>
      <c r="O121" s="40" t="s">
        <v>102</v>
      </c>
    </row>
    <row r="122" spans="1:15" x14ac:dyDescent="0.25">
      <c r="A122" s="171" t="s">
        <v>1056</v>
      </c>
      <c r="B122" s="43" t="s">
        <v>103</v>
      </c>
      <c r="C122" s="44">
        <v>194.97</v>
      </c>
      <c r="D122" s="45">
        <v>135.80000000000001</v>
      </c>
      <c r="E122" s="45">
        <v>304.58</v>
      </c>
      <c r="F122" s="45">
        <v>255.11</v>
      </c>
      <c r="G122" s="45">
        <v>321.07</v>
      </c>
      <c r="H122" s="45">
        <v>299.73</v>
      </c>
      <c r="I122" s="45">
        <v>218.25</v>
      </c>
      <c r="J122" s="45">
        <v>190.12</v>
      </c>
      <c r="K122" s="45">
        <v>243.82607594936707</v>
      </c>
      <c r="L122" s="45">
        <v>236.24496969696972</v>
      </c>
      <c r="M122" s="45">
        <v>227.99409090909089</v>
      </c>
      <c r="N122" s="45">
        <v>222.01464864864866</v>
      </c>
      <c r="O122" s="18"/>
    </row>
    <row r="123" spans="1:15" x14ac:dyDescent="0.25">
      <c r="A123" s="172"/>
      <c r="B123" s="43" t="s">
        <v>104</v>
      </c>
      <c r="C123" s="81">
        <f>'CONFIABILIDAD MENSUAL 2018'!L4</f>
        <v>76.875</v>
      </c>
      <c r="D123" s="81">
        <f>'CONFIABILIDAD MENSUAL 2018'!L5</f>
        <v>51</v>
      </c>
      <c r="E123" s="81">
        <f>'CONFIABILIDAD MENSUAL 2018'!L6</f>
        <v>75.916666666666671</v>
      </c>
      <c r="F123" s="81">
        <f>'CONFIABILIDAD MENSUAL 2018'!L7</f>
        <v>62.333333333333336</v>
      </c>
      <c r="G123" s="81">
        <f>'CONFIABILIDAD MENSUAL 2018'!L8</f>
        <v>61.4</v>
      </c>
      <c r="H123" s="81"/>
      <c r="I123" s="81"/>
      <c r="J123" s="81"/>
      <c r="K123" s="81"/>
      <c r="L123" s="81"/>
      <c r="M123" s="81"/>
      <c r="N123" s="81"/>
      <c r="O123" s="18"/>
    </row>
    <row r="124" spans="1:15" x14ac:dyDescent="0.25">
      <c r="A124" s="171" t="s">
        <v>1057</v>
      </c>
      <c r="B124" s="43" t="s">
        <v>103</v>
      </c>
      <c r="C124" s="44">
        <v>38.799999999999997</v>
      </c>
      <c r="D124" s="45">
        <v>55.29</v>
      </c>
      <c r="E124" s="45">
        <v>177.51</v>
      </c>
      <c r="F124" s="45">
        <v>148.41</v>
      </c>
      <c r="G124" s="45">
        <v>133.86000000000001</v>
      </c>
      <c r="H124" s="45">
        <v>275.48</v>
      </c>
      <c r="I124" s="45">
        <v>199.82</v>
      </c>
      <c r="J124" s="45">
        <v>250.26</v>
      </c>
      <c r="K124" s="45">
        <v>211.36892018779344</v>
      </c>
      <c r="L124" s="45">
        <v>215.49403433476394</v>
      </c>
      <c r="M124" s="45">
        <v>207.20277777777778</v>
      </c>
      <c r="N124" s="45">
        <v>206.9548046875</v>
      </c>
      <c r="O124" s="18"/>
    </row>
    <row r="125" spans="1:15" x14ac:dyDescent="0.25">
      <c r="A125" s="172"/>
      <c r="B125" s="43" t="s">
        <v>104</v>
      </c>
      <c r="C125" s="46">
        <f>'CONFIABILIDAD MENSUAL 2018'!L9</f>
        <v>108.125</v>
      </c>
      <c r="D125" s="46">
        <f>'CONFIABILIDAD MENSUAL 2018'!L10</f>
        <v>103.4</v>
      </c>
      <c r="E125" s="81">
        <f>'CONFIABILIDAD MENSUAL 2018'!L11</f>
        <v>90.65</v>
      </c>
      <c r="F125" s="81">
        <f>'CONFIABILIDAD MENSUAL 2018'!L12</f>
        <v>81.444444444444443</v>
      </c>
      <c r="G125" s="46">
        <f>'CONFIABILIDAD MENSUAL 2018'!L13</f>
        <v>237.64</v>
      </c>
      <c r="H125" s="81"/>
      <c r="I125" s="81"/>
      <c r="J125" s="81"/>
      <c r="K125" s="81"/>
      <c r="L125" s="81"/>
      <c r="M125" s="81"/>
      <c r="N125" s="81"/>
      <c r="O125" s="18"/>
    </row>
    <row r="126" spans="1:15" ht="23.25" customHeight="1" x14ac:dyDescent="0.25">
      <c r="A126" s="171" t="s">
        <v>1058</v>
      </c>
      <c r="B126" s="43" t="s">
        <v>103</v>
      </c>
      <c r="C126" s="44">
        <v>69.84</v>
      </c>
      <c r="D126" s="45">
        <v>64.02</v>
      </c>
      <c r="E126" s="45">
        <v>406.43</v>
      </c>
      <c r="F126" s="45">
        <v>739.14</v>
      </c>
      <c r="G126" s="45">
        <v>618.86</v>
      </c>
      <c r="H126" s="45">
        <v>554.84</v>
      </c>
      <c r="I126" s="45">
        <v>527.67999999999995</v>
      </c>
      <c r="J126" s="45">
        <v>478.21</v>
      </c>
      <c r="K126" s="45">
        <v>491.44496644295299</v>
      </c>
      <c r="L126" s="45">
        <v>506.32772151898735</v>
      </c>
      <c r="M126" s="45">
        <v>490.90280487804876</v>
      </c>
      <c r="N126" s="45">
        <v>483.96648809523811</v>
      </c>
      <c r="O126" s="18"/>
    </row>
    <row r="127" spans="1:15" ht="20.25" customHeight="1" x14ac:dyDescent="0.25">
      <c r="A127" s="172"/>
      <c r="B127" s="43" t="s">
        <v>104</v>
      </c>
      <c r="C127" s="46">
        <f>'CONFIABILIDAD MENSUAL 2018'!L14</f>
        <v>140</v>
      </c>
      <c r="D127" s="46">
        <f>'CONFIABILIDAD MENSUAL 2018'!L15</f>
        <v>65.8</v>
      </c>
      <c r="E127" s="81">
        <f>'CONFIABILIDAD MENSUAL 2018'!L16</f>
        <v>112.08333333333333</v>
      </c>
      <c r="F127" s="81">
        <f>'CONFIABILIDAD MENSUAL 2018'!L17</f>
        <v>72.222222222222229</v>
      </c>
      <c r="G127" s="81">
        <f>'CONFIABILIDAD MENSUAL 2018'!L18</f>
        <v>322.09090909090907</v>
      </c>
      <c r="H127" s="81"/>
      <c r="I127" s="81"/>
      <c r="J127" s="81"/>
      <c r="K127" s="81"/>
      <c r="L127" s="81"/>
      <c r="M127" s="81"/>
      <c r="N127" s="81"/>
      <c r="O127" s="18"/>
    </row>
    <row r="128" spans="1:15" x14ac:dyDescent="0.25">
      <c r="A128" s="171" t="s">
        <v>1059</v>
      </c>
      <c r="B128" s="43" t="s">
        <v>103</v>
      </c>
      <c r="C128" s="44">
        <v>74.69</v>
      </c>
      <c r="D128" s="45">
        <v>74.69</v>
      </c>
      <c r="E128" s="45">
        <v>70.81</v>
      </c>
      <c r="F128" s="45">
        <v>190.12</v>
      </c>
      <c r="G128" s="45">
        <v>311.37</v>
      </c>
      <c r="H128" s="45">
        <v>252.2</v>
      </c>
      <c r="I128" s="45">
        <v>201.76</v>
      </c>
      <c r="J128" s="45">
        <v>260.93</v>
      </c>
      <c r="K128" s="45">
        <v>264.24677419354839</v>
      </c>
      <c r="L128" s="45">
        <v>256.96415929203539</v>
      </c>
      <c r="M128" s="45">
        <v>256.07581896551727</v>
      </c>
      <c r="N128" s="45">
        <v>255.29733905579403</v>
      </c>
      <c r="O128" s="18"/>
    </row>
    <row r="129" spans="1:15" x14ac:dyDescent="0.25">
      <c r="A129" s="172"/>
      <c r="B129" s="43" t="s">
        <v>104</v>
      </c>
      <c r="C129" s="46">
        <f>'CONFIABILIDAD MENSUAL 2018'!L19</f>
        <v>1594</v>
      </c>
      <c r="D129" s="46">
        <f>'CONFIABILIDAD MENSUAL 2018'!L20</f>
        <v>143.5</v>
      </c>
      <c r="E129" s="81">
        <f>'CONFIABILIDAD MENSUAL 2018'!L21</f>
        <v>64.666666666666671</v>
      </c>
      <c r="F129" s="81">
        <f>'CONFIABILIDAD MENSUAL 2018'!L22</f>
        <v>49</v>
      </c>
      <c r="G129" s="81">
        <f>'CONFIABILIDAD MENSUAL 2018'!L23</f>
        <v>67.705882352941174</v>
      </c>
      <c r="H129" s="81"/>
      <c r="I129" s="81"/>
      <c r="J129" s="81"/>
      <c r="K129" s="81"/>
      <c r="L129" s="81"/>
      <c r="M129" s="81"/>
      <c r="N129" s="81"/>
      <c r="O129" s="18"/>
    </row>
    <row r="130" spans="1:15" x14ac:dyDescent="0.25">
      <c r="A130" s="171" t="s">
        <v>1060</v>
      </c>
      <c r="B130" s="43" t="s">
        <v>103</v>
      </c>
      <c r="C130" s="44">
        <v>695.49</v>
      </c>
      <c r="D130" s="45">
        <v>373.45</v>
      </c>
      <c r="E130" s="45">
        <v>323.01</v>
      </c>
      <c r="F130" s="45">
        <v>323.98</v>
      </c>
      <c r="G130" s="45">
        <v>268.69</v>
      </c>
      <c r="H130" s="45">
        <v>480.15</v>
      </c>
      <c r="I130" s="45">
        <v>308.45999999999998</v>
      </c>
      <c r="J130" s="45">
        <v>300.7</v>
      </c>
      <c r="K130" s="45">
        <v>297.21112903225804</v>
      </c>
      <c r="L130" s="45">
        <v>291.424375</v>
      </c>
      <c r="M130" s="45">
        <v>285.45924242424246</v>
      </c>
      <c r="N130" s="45">
        <v>282.94478260869568</v>
      </c>
      <c r="O130" s="18"/>
    </row>
    <row r="131" spans="1:15" x14ac:dyDescent="0.25">
      <c r="A131" s="172"/>
      <c r="B131" s="43" t="s">
        <v>104</v>
      </c>
      <c r="C131" s="81">
        <v>0</v>
      </c>
      <c r="D131" s="81">
        <f>'CONFIABILIDAD MENSUAL 2018'!L24</f>
        <v>43</v>
      </c>
      <c r="E131" s="81">
        <f>'CONFIABILIDAD MENSUAL 2018'!L25</f>
        <v>46</v>
      </c>
      <c r="F131" s="81">
        <f>'CONFIABILIDAD MENSUAL 2018'!L26</f>
        <v>78</v>
      </c>
      <c r="G131" s="81">
        <f>'CONFIABILIDAD MENSUAL 2018'!L27</f>
        <v>37.5</v>
      </c>
      <c r="H131" s="81"/>
      <c r="I131" s="81"/>
      <c r="J131" s="81"/>
      <c r="K131" s="81"/>
      <c r="L131" s="81"/>
      <c r="M131" s="81"/>
      <c r="N131" s="81"/>
      <c r="O131" s="18"/>
    </row>
    <row r="132" spans="1:15" x14ac:dyDescent="0.25">
      <c r="A132" s="171" t="s">
        <v>1073</v>
      </c>
      <c r="B132" s="43" t="s">
        <v>103</v>
      </c>
      <c r="C132" s="44">
        <v>0</v>
      </c>
      <c r="D132" s="45">
        <v>0</v>
      </c>
      <c r="E132" s="45">
        <v>0</v>
      </c>
      <c r="F132" s="45">
        <v>7372</v>
      </c>
      <c r="G132" s="45">
        <v>7372</v>
      </c>
      <c r="H132" s="45">
        <v>7372</v>
      </c>
      <c r="I132" s="45">
        <v>7372</v>
      </c>
      <c r="J132" s="45">
        <v>13090.15</v>
      </c>
      <c r="K132" s="45">
        <v>13089.665000000001</v>
      </c>
      <c r="L132" s="45">
        <v>9986.5380000000005</v>
      </c>
      <c r="M132" s="45">
        <v>9986.5380000000005</v>
      </c>
      <c r="N132" s="45">
        <v>9986.5380000000005</v>
      </c>
      <c r="O132" s="18"/>
    </row>
    <row r="133" spans="1:15" x14ac:dyDescent="0.25">
      <c r="A133" s="172"/>
      <c r="B133" s="43" t="s">
        <v>104</v>
      </c>
      <c r="C133" s="81">
        <v>0</v>
      </c>
      <c r="D133" s="81">
        <v>0</v>
      </c>
      <c r="E133" s="81">
        <v>0</v>
      </c>
      <c r="F133" s="81">
        <v>0</v>
      </c>
      <c r="G133" s="81">
        <v>0</v>
      </c>
      <c r="H133" s="81"/>
      <c r="I133" s="81"/>
      <c r="J133" s="81"/>
      <c r="K133" s="81"/>
      <c r="L133" s="81"/>
      <c r="M133" s="81"/>
      <c r="N133" s="81"/>
      <c r="O133" s="18"/>
    </row>
    <row r="134" spans="1:15" x14ac:dyDescent="0.25">
      <c r="A134" s="171" t="s">
        <v>1074</v>
      </c>
      <c r="B134" s="43" t="s">
        <v>103</v>
      </c>
      <c r="C134" s="44">
        <v>0</v>
      </c>
      <c r="D134" s="44">
        <v>0</v>
      </c>
      <c r="E134" s="44">
        <v>0</v>
      </c>
      <c r="F134" s="44">
        <v>0</v>
      </c>
      <c r="G134" s="44">
        <v>0</v>
      </c>
      <c r="H134" s="44">
        <v>0</v>
      </c>
      <c r="I134" s="44">
        <v>0</v>
      </c>
      <c r="J134" s="44">
        <v>0</v>
      </c>
      <c r="K134" s="44">
        <v>0</v>
      </c>
      <c r="L134" s="44">
        <v>0</v>
      </c>
      <c r="M134" s="44">
        <v>0</v>
      </c>
      <c r="N134" s="44">
        <v>0</v>
      </c>
      <c r="O134" s="18"/>
    </row>
    <row r="135" spans="1:15" x14ac:dyDescent="0.25">
      <c r="A135" s="172"/>
      <c r="B135" s="43" t="s">
        <v>104</v>
      </c>
      <c r="C135" s="81">
        <v>0</v>
      </c>
      <c r="D135" s="81">
        <v>0</v>
      </c>
      <c r="E135" s="81">
        <v>0</v>
      </c>
      <c r="F135" s="81">
        <v>0</v>
      </c>
      <c r="G135" s="81">
        <v>0</v>
      </c>
      <c r="H135" s="81"/>
      <c r="I135" s="81"/>
      <c r="J135" s="81"/>
      <c r="K135" s="81"/>
      <c r="L135" s="81"/>
      <c r="M135" s="81"/>
      <c r="N135" s="81"/>
      <c r="O135" s="18"/>
    </row>
    <row r="136" spans="1:15" ht="22.5" customHeight="1" x14ac:dyDescent="0.25">
      <c r="A136" s="171" t="s">
        <v>1075</v>
      </c>
      <c r="B136" s="43" t="s">
        <v>103</v>
      </c>
      <c r="C136" s="44">
        <v>0</v>
      </c>
      <c r="D136" s="44">
        <v>0</v>
      </c>
      <c r="E136" s="44">
        <v>0</v>
      </c>
      <c r="F136" s="44">
        <v>0</v>
      </c>
      <c r="G136" s="44">
        <v>0</v>
      </c>
      <c r="H136" s="44">
        <v>0</v>
      </c>
      <c r="I136" s="44">
        <v>0</v>
      </c>
      <c r="J136" s="44">
        <v>0</v>
      </c>
      <c r="K136" s="44">
        <v>0</v>
      </c>
      <c r="L136" s="44">
        <v>0</v>
      </c>
      <c r="M136" s="44">
        <v>0</v>
      </c>
      <c r="N136" s="44">
        <v>0</v>
      </c>
      <c r="O136" s="18"/>
    </row>
    <row r="137" spans="1:15" ht="18.75" customHeight="1" x14ac:dyDescent="0.25">
      <c r="A137" s="172"/>
      <c r="B137" s="43" t="s">
        <v>104</v>
      </c>
      <c r="C137" s="81">
        <v>0</v>
      </c>
      <c r="D137" s="81">
        <v>0</v>
      </c>
      <c r="E137" s="81">
        <v>0</v>
      </c>
      <c r="F137" s="81">
        <v>0</v>
      </c>
      <c r="G137" s="81">
        <v>0</v>
      </c>
      <c r="H137" s="81"/>
      <c r="I137" s="81"/>
      <c r="J137" s="81"/>
      <c r="K137" s="81"/>
      <c r="L137" s="81"/>
      <c r="M137" s="81"/>
      <c r="N137" s="81"/>
      <c r="O137" s="18"/>
    </row>
    <row r="138" spans="1:15" x14ac:dyDescent="0.25">
      <c r="A138" s="171" t="s">
        <v>1076</v>
      </c>
      <c r="B138" s="43" t="s">
        <v>103</v>
      </c>
      <c r="C138" s="44">
        <v>0</v>
      </c>
      <c r="D138" s="45">
        <v>0</v>
      </c>
      <c r="E138" s="45">
        <v>0</v>
      </c>
      <c r="F138" s="45">
        <v>0</v>
      </c>
      <c r="G138" s="45">
        <v>0</v>
      </c>
      <c r="H138" s="45">
        <v>0</v>
      </c>
      <c r="I138" s="45">
        <v>0</v>
      </c>
      <c r="J138" s="45">
        <v>0</v>
      </c>
      <c r="K138" s="45">
        <v>0</v>
      </c>
      <c r="L138" s="45">
        <v>55967.06</v>
      </c>
      <c r="M138" s="45">
        <v>55967.06</v>
      </c>
      <c r="N138" s="45">
        <v>55967.06</v>
      </c>
      <c r="O138" s="18"/>
    </row>
    <row r="139" spans="1:15" x14ac:dyDescent="0.25">
      <c r="A139" s="172"/>
      <c r="B139" s="43" t="s">
        <v>104</v>
      </c>
      <c r="C139" s="81">
        <v>0</v>
      </c>
      <c r="D139" s="81">
        <v>0</v>
      </c>
      <c r="E139" s="81">
        <v>0</v>
      </c>
      <c r="F139" s="81">
        <v>0</v>
      </c>
      <c r="G139" s="81">
        <v>0</v>
      </c>
      <c r="H139" s="81"/>
      <c r="I139" s="81"/>
      <c r="J139" s="81"/>
      <c r="K139" s="81"/>
      <c r="L139" s="81"/>
      <c r="M139" s="81"/>
      <c r="N139" s="81"/>
      <c r="O139" s="18"/>
    </row>
  </sheetData>
  <mergeCells count="62">
    <mergeCell ref="A35:A36"/>
    <mergeCell ref="A37:A38"/>
    <mergeCell ref="A39:A40"/>
    <mergeCell ref="A51:A52"/>
    <mergeCell ref="A41:A42"/>
    <mergeCell ref="A43:A44"/>
    <mergeCell ref="A45:A46"/>
    <mergeCell ref="A47:A48"/>
    <mergeCell ref="A49:A50"/>
    <mergeCell ref="A58:A59"/>
    <mergeCell ref="A71:B71"/>
    <mergeCell ref="A73:A74"/>
    <mergeCell ref="A96:A97"/>
    <mergeCell ref="A94:B94"/>
    <mergeCell ref="A60:A61"/>
    <mergeCell ref="A62:A63"/>
    <mergeCell ref="A64:A65"/>
    <mergeCell ref="A66:A67"/>
    <mergeCell ref="A75:A76"/>
    <mergeCell ref="A87:A88"/>
    <mergeCell ref="A89:A90"/>
    <mergeCell ref="A4:A5"/>
    <mergeCell ref="A2:B2"/>
    <mergeCell ref="A29:B29"/>
    <mergeCell ref="A31:A32"/>
    <mergeCell ref="A56:B56"/>
    <mergeCell ref="A6:A7"/>
    <mergeCell ref="A8:A9"/>
    <mergeCell ref="A10:A11"/>
    <mergeCell ref="A12:A13"/>
    <mergeCell ref="A14:A15"/>
    <mergeCell ref="A16:A17"/>
    <mergeCell ref="A18:A19"/>
    <mergeCell ref="A20:A21"/>
    <mergeCell ref="A22:A23"/>
    <mergeCell ref="A24:A25"/>
    <mergeCell ref="A33:A34"/>
    <mergeCell ref="A98:A99"/>
    <mergeCell ref="A77:A78"/>
    <mergeCell ref="A79:A80"/>
    <mergeCell ref="A81:A82"/>
    <mergeCell ref="A83:A84"/>
    <mergeCell ref="A85:A86"/>
    <mergeCell ref="A100:A101"/>
    <mergeCell ref="A102:A103"/>
    <mergeCell ref="A104:A105"/>
    <mergeCell ref="A106:A107"/>
    <mergeCell ref="A108:A109"/>
    <mergeCell ref="A110:A111"/>
    <mergeCell ref="A112:A113"/>
    <mergeCell ref="A114:A115"/>
    <mergeCell ref="A116:A117"/>
    <mergeCell ref="A124:A125"/>
    <mergeCell ref="A122:A123"/>
    <mergeCell ref="A120:B120"/>
    <mergeCell ref="A136:A137"/>
    <mergeCell ref="A138:A139"/>
    <mergeCell ref="A126:A127"/>
    <mergeCell ref="A128:A129"/>
    <mergeCell ref="A130:A131"/>
    <mergeCell ref="A132:A133"/>
    <mergeCell ref="A134:A135"/>
  </mergeCells>
  <conditionalFormatting sqref="C59:N59 C61:N61 C63:N63 C65:N65 C67:N67">
    <cfRule type="cellIs" dxfId="509" priority="10" operator="equal">
      <formula>0</formula>
    </cfRule>
  </conditionalFormatting>
  <conditionalFormatting sqref="C23">
    <cfRule type="cellIs" dxfId="508" priority="9" operator="greaterThan">
      <formula>$D$22</formula>
    </cfRule>
  </conditionalFormatting>
  <conditionalFormatting sqref="D23:N23">
    <cfRule type="cellIs" dxfId="507" priority="8" operator="greaterThan">
      <formula>$D$22</formula>
    </cfRule>
  </conditionalFormatting>
  <conditionalFormatting sqref="F23">
    <cfRule type="cellIs" dxfId="506" priority="7" operator="greaterThan">
      <formula>$G$22</formula>
    </cfRule>
  </conditionalFormatting>
  <conditionalFormatting sqref="C50">
    <cfRule type="cellIs" dxfId="505" priority="6" operator="greaterThan">
      <formula>$D$22</formula>
    </cfRule>
  </conditionalFormatting>
  <conditionalFormatting sqref="D50:N50">
    <cfRule type="cellIs" dxfId="504" priority="5" operator="greaterThan">
      <formula>$D$22</formula>
    </cfRule>
  </conditionalFormatting>
  <conditionalFormatting sqref="F50">
    <cfRule type="cellIs" dxfId="503" priority="4" operator="greaterThan">
      <formula>$G$22</formula>
    </cfRule>
  </conditionalFormatting>
  <conditionalFormatting sqref="C115">
    <cfRule type="cellIs" dxfId="502" priority="3" operator="greaterThan">
      <formula>$D$22</formula>
    </cfRule>
  </conditionalFormatting>
  <conditionalFormatting sqref="D115:N115">
    <cfRule type="cellIs" dxfId="501" priority="2" operator="greaterThan">
      <formula>$D$22</formula>
    </cfRule>
  </conditionalFormatting>
  <conditionalFormatting sqref="F115">
    <cfRule type="cellIs" dxfId="500" priority="1" operator="greaterThan">
      <formula>$G$22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2:L29"/>
  <sheetViews>
    <sheetView workbookViewId="0">
      <selection activeCell="I4" sqref="I4"/>
    </sheetView>
  </sheetViews>
  <sheetFormatPr baseColWidth="10" defaultRowHeight="15" x14ac:dyDescent="0.25"/>
  <cols>
    <col min="1" max="1" width="19.42578125" bestFit="1" customWidth="1"/>
    <col min="2" max="2" width="8.85546875" bestFit="1" customWidth="1"/>
    <col min="3" max="3" width="4" customWidth="1"/>
    <col min="4" max="4" width="12" customWidth="1"/>
    <col min="5" max="5" width="9.28515625" customWidth="1"/>
    <col min="6" max="6" width="8.28515625" customWidth="1"/>
    <col min="7" max="7" width="18.140625" bestFit="1" customWidth="1"/>
    <col min="8" max="8" width="13.42578125" bestFit="1" customWidth="1"/>
    <col min="9" max="9" width="13.42578125" customWidth="1"/>
  </cols>
  <sheetData>
    <row r="2" spans="1:12" x14ac:dyDescent="0.25">
      <c r="A2" s="179" t="s">
        <v>1046</v>
      </c>
      <c r="B2" s="179"/>
      <c r="C2" s="179"/>
      <c r="D2" s="179"/>
      <c r="E2" s="179"/>
      <c r="F2" s="179"/>
      <c r="G2" s="179"/>
      <c r="H2" s="179"/>
      <c r="I2" s="179"/>
      <c r="J2" s="179"/>
      <c r="K2" s="179"/>
      <c r="L2" s="179"/>
    </row>
    <row r="3" spans="1:12" x14ac:dyDescent="0.25">
      <c r="A3" s="120" t="s">
        <v>1055</v>
      </c>
      <c r="B3" s="29" t="s">
        <v>2</v>
      </c>
      <c r="C3" s="30" t="s">
        <v>29</v>
      </c>
      <c r="D3" s="30" t="s">
        <v>34</v>
      </c>
      <c r="E3" s="30" t="s">
        <v>87</v>
      </c>
      <c r="F3" s="30" t="s">
        <v>86</v>
      </c>
      <c r="G3" s="29" t="s">
        <v>85</v>
      </c>
      <c r="H3" s="29" t="s">
        <v>84</v>
      </c>
      <c r="I3" s="31" t="s">
        <v>88</v>
      </c>
      <c r="J3" s="31" t="s">
        <v>32</v>
      </c>
      <c r="K3" s="31" t="s">
        <v>30</v>
      </c>
      <c r="L3" s="31" t="s">
        <v>31</v>
      </c>
    </row>
    <row r="4" spans="1:12" x14ac:dyDescent="0.25">
      <c r="A4" s="3" t="s">
        <v>1056</v>
      </c>
      <c r="B4" s="3" t="s">
        <v>79</v>
      </c>
      <c r="C4" s="7">
        <v>8</v>
      </c>
      <c r="D4" s="4">
        <v>0.31717420384671591</v>
      </c>
      <c r="E4" s="4">
        <v>2656</v>
      </c>
      <c r="F4" s="4">
        <v>169293</v>
      </c>
      <c r="G4" s="4">
        <v>615</v>
      </c>
      <c r="H4" s="4">
        <v>533754</v>
      </c>
      <c r="I4" s="150">
        <f>GETPIVOTDATA("Usuarios Afectados",$A$3,"Mes","ENERO","Area","AREA FORANEA")/GETPIVOTDATA("Usuarios Zona",$A$3,"Mes","ENERO","Area","AREA FORANEA")</f>
        <v>1.1522161894805473E-3</v>
      </c>
      <c r="J4" s="36">
        <f>GETPIVOTDATA(" DEMUA",$A$3,"Mes","ENERO","Area","AREA FORANEA")/GETPIVOTDATA("Usuarios Afectados",$A$3,"Mes","ENERO","Area","AREA FORANEA")</f>
        <v>275.2731707317073</v>
      </c>
      <c r="K4" s="94">
        <f>GETPIVOTDATA(" Duración",$A$3,"Mes","ENERO","Area","AREA FORANEA")/GETPIVOTDATA("NI",$A$3,"Mes","ENERO","Area","AREA FORANEA")</f>
        <v>332</v>
      </c>
      <c r="L4" s="35">
        <f>GETPIVOTDATA("Usuarios Afectados",$A$3,"Mes","ENERO","Area","AREA FORANEA")/GETPIVOTDATA("NI",$A$3,"Mes","ENERO","Area","AREA FORANEA")</f>
        <v>76.875</v>
      </c>
    </row>
    <row r="5" spans="1:12" x14ac:dyDescent="0.25">
      <c r="A5" s="2"/>
      <c r="B5" s="3" t="s">
        <v>80</v>
      </c>
      <c r="C5" s="7">
        <v>7</v>
      </c>
      <c r="D5" s="4">
        <v>0.26679519029365589</v>
      </c>
      <c r="E5" s="4">
        <v>2966</v>
      </c>
      <c r="F5" s="4">
        <v>142403</v>
      </c>
      <c r="G5" s="4">
        <v>357</v>
      </c>
      <c r="H5" s="4">
        <v>533754</v>
      </c>
      <c r="I5" s="150">
        <f>GETPIVOTDATA("Usuarios Afectados",$A$3,"Mes","FEBRERO","Area","AREA FORANEA")/GETPIVOTDATA("Usuarios Zona",$A$3,"Mes","FEBRERO","Area","AREA FORANEA")</f>
        <v>6.6884744657651272E-4</v>
      </c>
      <c r="J5" s="36">
        <f>GETPIVOTDATA(" DEMUA",$A$3,"Mes","FEBRERO","Area","AREA FORANEA")/GETPIVOTDATA("Usuarios Afectados",$A$3,"Mes","FEBRERO","Area","AREA FORANEA")</f>
        <v>398.8879551820728</v>
      </c>
      <c r="K5" s="94">
        <f>GETPIVOTDATA(" Duración",$A$3,"Mes","FEBRERO","Area","AREA FORANEA")/GETPIVOTDATA("NI",$A$3,"Mes","FEBRERO","Area","AREA FORANEA")</f>
        <v>423.71428571428572</v>
      </c>
      <c r="L5" s="35">
        <f>GETPIVOTDATA("Usuarios Afectados",$A$3,"Mes","FEBRERO","Area","AREA FORANEA")/GETPIVOTDATA("NI",$A$3,"Mes","FEBRERO","Area","AREA FORANEA")</f>
        <v>51</v>
      </c>
    </row>
    <row r="6" spans="1:12" x14ac:dyDescent="0.25">
      <c r="A6" s="2"/>
      <c r="B6" s="3" t="s">
        <v>81</v>
      </c>
      <c r="C6" s="7">
        <v>12</v>
      </c>
      <c r="D6" s="4">
        <v>0.50590346863911084</v>
      </c>
      <c r="E6" s="4">
        <v>4312</v>
      </c>
      <c r="F6" s="4">
        <v>270028</v>
      </c>
      <c r="G6" s="4">
        <v>911</v>
      </c>
      <c r="H6" s="4">
        <v>533754</v>
      </c>
      <c r="I6" s="150">
        <f>GETPIVOTDATA("Usuarios Afectados",$A$3,"Mes","MARZO","Area","AREA FORANEA")/GETPIVOTDATA("Usuarios Zona",$A$3,"Mes","MARZO","Area","AREA FORANEA")</f>
        <v>1.7067787782386642E-3</v>
      </c>
      <c r="J6" s="36">
        <f>GETPIVOTDATA(" DEMUA",$A$3,"Mes","MARZO","Area","AREA FORANEA")/GETPIVOTDATA("Usuarios Afectados",$A$3,"Mes","MARZO","Area","AREA FORANEA")</f>
        <v>296.40834248079034</v>
      </c>
      <c r="K6" s="94">
        <f>GETPIVOTDATA(" Duración",$A$3,"Mes","MARZO","Area","AREA FORANEA")/GETPIVOTDATA("NI",$A$3,"Mes","MARZO","Area","AREA FORANEA")</f>
        <v>359.33333333333331</v>
      </c>
      <c r="L6" s="35">
        <f>GETPIVOTDATA("Usuarios Afectados",$A$3,"Mes","MARZO","Area","AREA FORANEA")/GETPIVOTDATA("NI",$A$3,"Mes","MARZO","Area","AREA FORANEA")</f>
        <v>75.916666666666671</v>
      </c>
    </row>
    <row r="7" spans="1:12" x14ac:dyDescent="0.25">
      <c r="A7" s="2"/>
      <c r="B7" s="3" t="s">
        <v>82</v>
      </c>
      <c r="C7" s="7">
        <v>15</v>
      </c>
      <c r="D7" s="4">
        <v>0.47663905094856429</v>
      </c>
      <c r="E7" s="4">
        <v>3929</v>
      </c>
      <c r="F7" s="4">
        <v>254408</v>
      </c>
      <c r="G7" s="4">
        <v>935</v>
      </c>
      <c r="H7" s="4">
        <v>533754</v>
      </c>
      <c r="I7" s="150">
        <f>GETPIVOTDATA("Usuarios Afectados",$A$3,"Mes","ABRIL","Area","AREA FORANEA")/GETPIVOTDATA("Usuarios Zona",$A$3,"Mes","ABRIL","Area","AREA FORANEA")</f>
        <v>1.7517433124622955E-3</v>
      </c>
      <c r="J7" s="36">
        <f>GETPIVOTDATA(" DEMUA",$A$3,"Mes","ABRIL","Area","AREA FORANEA")/GETPIVOTDATA("Usuarios Afectados",$A$3,"Mes","ABRIL","Area","AREA FORANEA")</f>
        <v>272.09411764705885</v>
      </c>
      <c r="K7" s="94">
        <f>GETPIVOTDATA(" Duración",$A$3,"Mes","ABRIL","Area","AREA FORANEA")/GETPIVOTDATA("NI",$A$3,"Mes","ABRIL","Area","AREA FORANEA")</f>
        <v>261.93333333333334</v>
      </c>
      <c r="L7" s="35">
        <f>GETPIVOTDATA("Usuarios Afectados",$A$3,"Mes","ABRIL","Area","AREA FORANEA")/GETPIVOTDATA("NI",$A$3,"Mes","ABRIL","Area","AREA FORANEA")</f>
        <v>62.333333333333336</v>
      </c>
    </row>
    <row r="8" spans="1:12" x14ac:dyDescent="0.25">
      <c r="A8" s="2"/>
      <c r="B8" s="3" t="s">
        <v>83</v>
      </c>
      <c r="C8" s="7">
        <v>30</v>
      </c>
      <c r="D8" s="4">
        <v>1.3655710308494178</v>
      </c>
      <c r="E8" s="4">
        <v>14823</v>
      </c>
      <c r="F8" s="4">
        <v>728879</v>
      </c>
      <c r="G8" s="4">
        <v>1842</v>
      </c>
      <c r="H8" s="4">
        <v>533754</v>
      </c>
      <c r="I8" s="150">
        <f>GETPIVOTDATA("Usuarios Afectados",$A$3,"Mes","MAYO","Area","AREA FORANEA")/GETPIVOTDATA("Usuarios Zona",$A$3,"Mes","MAYO","Area","AREA FORANEA")</f>
        <v>3.4510280016636879E-3</v>
      </c>
      <c r="J8" s="36">
        <f>GETPIVOTDATA(" DEMUA",$A$3,"Mes","MAYO","Area","AREA FORANEA")/GETPIVOTDATA("Usuarios Afectados",$A$3,"Mes","MAYO","Area","AREA FORANEA")</f>
        <v>395.69978284473399</v>
      </c>
      <c r="K8" s="94">
        <f>GETPIVOTDATA(" Duración",$A$3,"Mes","MAYO","Area","AREA FORANEA")/GETPIVOTDATA("NI",$A$3,"Mes","MAYO","Area","AREA FORANEA")</f>
        <v>494.1</v>
      </c>
      <c r="L8" s="35">
        <f>GETPIVOTDATA("Usuarios Afectados",$A$3,"Mes","MAYO","Area","AREA FORANEA")/GETPIVOTDATA("NI",$A$3,"Mes","MAYO","Area","AREA FORANEA")</f>
        <v>61.4</v>
      </c>
    </row>
    <row r="9" spans="1:12" x14ac:dyDescent="0.25">
      <c r="A9" s="3" t="s">
        <v>1057</v>
      </c>
      <c r="B9" s="3" t="s">
        <v>79</v>
      </c>
      <c r="C9" s="7">
        <v>8</v>
      </c>
      <c r="D9" s="4">
        <v>0.31752642603146769</v>
      </c>
      <c r="E9" s="4">
        <v>1711</v>
      </c>
      <c r="F9" s="4">
        <v>169481</v>
      </c>
      <c r="G9" s="4">
        <v>865</v>
      </c>
      <c r="H9" s="4">
        <v>533754</v>
      </c>
      <c r="I9" s="150">
        <f>GETPIVOTDATA("Usuarios Afectados",$A$3,"Mes","ENERO","Area","AREA URBANA")/GETPIVOTDATA("Usuarios Zona",$A$3,"Mes","ENERO","Area","AREA URBANA")</f>
        <v>1.620596754310038E-3</v>
      </c>
      <c r="J9" s="2">
        <f>GETPIVOTDATA(" DEMUA",$A$3,"Mes","ENERO","Area","AREA URBANA")/GETPIVOTDATA("Usuarios Afectados",$A$3,"Mes","ENERO","Area","AREA URBANA")</f>
        <v>195.93179190751445</v>
      </c>
      <c r="K9" s="94">
        <f>GETPIVOTDATA(" Duración",$A$3,"Mes","ENERO","Area","AREA URBANA")/GETPIVOTDATA("NI",$A$3,"Mes","ENERO","Area","AREA URBANA")</f>
        <v>213.875</v>
      </c>
      <c r="L9" s="35">
        <f>GETPIVOTDATA("Usuarios Afectados",$A$3,"Mes","ENERO","Area","AREA URBANA")/GETPIVOTDATA("NI",$A$3,"Mes","ENERO","Area","AREA URBANA")</f>
        <v>108.125</v>
      </c>
    </row>
    <row r="10" spans="1:12" x14ac:dyDescent="0.25">
      <c r="A10" s="2"/>
      <c r="B10" s="3" t="s">
        <v>80</v>
      </c>
      <c r="C10" s="7">
        <v>5</v>
      </c>
      <c r="D10" s="4">
        <v>0.1117556027683165</v>
      </c>
      <c r="E10" s="4">
        <v>666</v>
      </c>
      <c r="F10" s="4">
        <v>59650</v>
      </c>
      <c r="G10" s="4">
        <v>517</v>
      </c>
      <c r="H10" s="4">
        <v>533754</v>
      </c>
      <c r="I10" s="150">
        <f>GETPIVOTDATA("Usuarios Afectados",$A$3,"Mes","FEBRERO","Area","AREA URBANA")/GETPIVOTDATA("Usuarios Zona",$A$3,"Mes","FEBRERO","Area","AREA URBANA")</f>
        <v>9.686110080673869E-4</v>
      </c>
      <c r="J10" s="2">
        <f>GETPIVOTDATA(" DEMUA",$A$3,"Mes","FEBRERO","Area","AREA URBANA")/GETPIVOTDATA("Usuarios Afectados",$A$3,"Mes","FEBRERO","Area","AREA URBANA")</f>
        <v>115.37717601547389</v>
      </c>
      <c r="K10" s="94">
        <f>GETPIVOTDATA(" Duración",$A$3,"Mes","FEBRERO","Area","AREA URBANA")/GETPIVOTDATA("NI",$A$3,"Mes","FEBRERO","Area","AREA URBANA")</f>
        <v>133.19999999999999</v>
      </c>
      <c r="L10" s="35">
        <f>GETPIVOTDATA("Usuarios Afectados",$A$3,"Mes","FEBRERO","Area","AREA URBANA")/GETPIVOTDATA("NI",$A$3,"Mes","FEBRERO","Area","AREA URBANA")</f>
        <v>103.4</v>
      </c>
    </row>
    <row r="11" spans="1:12" x14ac:dyDescent="0.25">
      <c r="A11" s="2"/>
      <c r="B11" s="3" t="s">
        <v>81</v>
      </c>
      <c r="C11" s="7">
        <v>20</v>
      </c>
      <c r="D11" s="4">
        <v>0.65645971739790243</v>
      </c>
      <c r="E11" s="4">
        <v>4404</v>
      </c>
      <c r="F11" s="4">
        <v>350388</v>
      </c>
      <c r="G11" s="4">
        <v>1813</v>
      </c>
      <c r="H11" s="4">
        <v>533754</v>
      </c>
      <c r="I11" s="150">
        <f>GETPIVOTDATA("Usuarios Afectados",$A$3,"Mes","MARZO","Area","AREA URBANA")/GETPIVOTDATA("Usuarios Zona",$A$3,"Mes","MARZO","Area","AREA URBANA")</f>
        <v>3.3966958561434668E-3</v>
      </c>
      <c r="J11" s="2">
        <f>GETPIVOTDATA(" DEMUA",$A$3,"Mes","MARZO","Area","AREA URBANA")/GETPIVOTDATA("Usuarios Afectados",$A$3,"Mes","MARZO","Area","AREA URBANA")</f>
        <v>193.2642029784887</v>
      </c>
      <c r="K11" s="94">
        <f>GETPIVOTDATA(" Duración",$A$3,"Mes","MARZO","Area","AREA URBANA")/GETPIVOTDATA("NI",$A$3,"Mes","MARZO","Area","AREA URBANA")</f>
        <v>220.2</v>
      </c>
      <c r="L11" s="35">
        <f>GETPIVOTDATA("Usuarios Afectados",$A$3,"Mes","MARZO","Area","AREA URBANA")/GETPIVOTDATA("NI",$A$3,"Mes","MARZO","Area","AREA URBANA")</f>
        <v>90.65</v>
      </c>
    </row>
    <row r="12" spans="1:12" x14ac:dyDescent="0.25">
      <c r="A12" s="2"/>
      <c r="B12" s="3" t="s">
        <v>82</v>
      </c>
      <c r="C12" s="7">
        <v>18</v>
      </c>
      <c r="D12" s="4">
        <v>0.46831499155041462</v>
      </c>
      <c r="E12" s="4">
        <v>3152</v>
      </c>
      <c r="F12" s="4">
        <v>249965</v>
      </c>
      <c r="G12" s="4">
        <v>1466</v>
      </c>
      <c r="H12" s="4">
        <v>533754</v>
      </c>
      <c r="I12" s="150">
        <f>GETPIVOTDATA("Usuarios Afectados",$A$3,"Mes","ABRIL","Area","AREA URBANA")/GETPIVOTDATA("Usuarios Zona",$A$3,"Mes","ABRIL","Area","AREA URBANA")</f>
        <v>2.7465836321601336E-3</v>
      </c>
      <c r="J12" s="2">
        <f>GETPIVOTDATA(" DEMUA",$A$3,"Mes","ABRIL","Area","AREA URBANA")/GETPIVOTDATA("Usuarios Afectados",$A$3,"Mes","ABRIL","Area","AREA URBANA")</f>
        <v>170.50818553888132</v>
      </c>
      <c r="K12" s="94">
        <f>GETPIVOTDATA(" Duración",$A$3,"Mes","ABRIL","Area","AREA URBANA")/GETPIVOTDATA("NI",$A$3,"Mes","ABRIL","Area","AREA URBANA")</f>
        <v>175.11111111111111</v>
      </c>
      <c r="L12" s="35">
        <f>GETPIVOTDATA("Usuarios Afectados",$A$3,"Mes","ABRIL","Area","AREA URBANA")/GETPIVOTDATA("NI",$A$3,"Mes","ABRIL","Area","AREA URBANA")</f>
        <v>81.444444444444443</v>
      </c>
    </row>
    <row r="13" spans="1:12" x14ac:dyDescent="0.25">
      <c r="A13" s="2"/>
      <c r="B13" s="3" t="s">
        <v>83</v>
      </c>
      <c r="C13" s="7">
        <v>25</v>
      </c>
      <c r="D13" s="4">
        <v>1.0218846135110931</v>
      </c>
      <c r="E13" s="4">
        <v>4394</v>
      </c>
      <c r="F13" s="4">
        <v>545435</v>
      </c>
      <c r="G13" s="4">
        <v>5941</v>
      </c>
      <c r="H13" s="4">
        <v>533754</v>
      </c>
      <c r="I13" s="150">
        <f>GETPIVOTDATA("Usuarios Afectados",$A$3,"Mes","MAYO","Area","AREA URBANA")/GETPIVOTDATA("Usuarios Zona",$A$3,"Mes","MAYO","Area","AREA URBANA")</f>
        <v>1.1130595742608019E-2</v>
      </c>
      <c r="J13" s="2">
        <f>GETPIVOTDATA(" DEMUA",$A$3,"Mes","MAYO","Area","AREA URBANA")/GETPIVOTDATA("Usuarios Afectados",$A$3,"Mes","MAYO","Area","AREA URBANA")</f>
        <v>91.808618077764692</v>
      </c>
      <c r="K13" s="94">
        <f>GETPIVOTDATA(" Duración",$A$3,"Mes","MAYO","Area","AREA URBANA")/GETPIVOTDATA("NI",$A$3,"Mes","MAYO","Area","AREA URBANA")</f>
        <v>175.76</v>
      </c>
      <c r="L13" s="35">
        <f>GETPIVOTDATA("Usuarios Afectados",$A$3,"Mes","MAYO","Area","AREA URBANA")/GETPIVOTDATA("NI",$A$3,"Mes","MAYO","Area","AREA URBANA")</f>
        <v>237.64</v>
      </c>
    </row>
    <row r="14" spans="1:12" x14ac:dyDescent="0.25">
      <c r="A14" s="3" t="s">
        <v>1058</v>
      </c>
      <c r="B14" s="3" t="s">
        <v>79</v>
      </c>
      <c r="C14" s="7">
        <v>4</v>
      </c>
      <c r="D14" s="4">
        <v>0.18690632763407861</v>
      </c>
      <c r="E14" s="4">
        <v>632</v>
      </c>
      <c r="F14" s="4">
        <v>99762</v>
      </c>
      <c r="G14" s="4">
        <v>560</v>
      </c>
      <c r="H14" s="4">
        <v>533754</v>
      </c>
      <c r="I14" s="150">
        <f>GETPIVOTDATA("Usuarios Afectados",$A$3,"Mes","ENERO","Area","AREA VILLAFLORES")/GETPIVOTDATA("Usuarios Zona",$A$3,"Mes","ENERO","Area","AREA VILLAFLORES")</f>
        <v>1.0491724652180593E-3</v>
      </c>
      <c r="J14" s="2">
        <f>GETPIVOTDATA(" DEMUA",$A$3,"Mes","ENERO","Area","AREA VILLAFLORES")/GETPIVOTDATA("Usuarios Afectados",$A$3,"Mes","ENERO","Area","AREA VILLAFLORES")</f>
        <v>178.14642857142857</v>
      </c>
      <c r="K14" s="94">
        <f>GETPIVOTDATA(" Duración",$A$3,"Mes","ENERO","Area","AREA VILLAFLORES")/GETPIVOTDATA("NI",$A$3,"Mes","ENERO","Area","AREA VILLAFLORES")</f>
        <v>158</v>
      </c>
      <c r="L14" s="35">
        <f>GETPIVOTDATA("Usuarios Afectados",$A$3,"Mes","ENERO","Area","AREA VILLAFLORES")/GETPIVOTDATA("NI",$A$3,"Mes","ENERO","Area","AREA VILLAFLORES")</f>
        <v>140</v>
      </c>
    </row>
    <row r="15" spans="1:12" x14ac:dyDescent="0.25">
      <c r="A15" s="2"/>
      <c r="B15" s="3" t="s">
        <v>80</v>
      </c>
      <c r="C15" s="7">
        <v>5</v>
      </c>
      <c r="D15" s="4">
        <v>0.10618936813588283</v>
      </c>
      <c r="E15" s="4">
        <v>3477</v>
      </c>
      <c r="F15" s="4">
        <v>56679</v>
      </c>
      <c r="G15" s="4">
        <v>329</v>
      </c>
      <c r="H15" s="4">
        <v>533754</v>
      </c>
      <c r="I15" s="150">
        <f>GETPIVOTDATA("Usuarios Afectados",$A$3,"Mes","FEBRERO","Area","AREA VILLAFLORES")/GETPIVOTDATA("Usuarios Zona",$A$3,"Mes","FEBRERO","Area","AREA VILLAFLORES")</f>
        <v>6.1638882331560986E-4</v>
      </c>
      <c r="J15" s="2">
        <f>GETPIVOTDATA(" DEMUA",$A$3,"Mes","FEBRERO","Area","AREA VILLAFLORES")/GETPIVOTDATA("Usuarios Afectados",$A$3,"Mes","FEBRERO","Area","AREA VILLAFLORES")</f>
        <v>172.27659574468086</v>
      </c>
      <c r="K15" s="94">
        <f>GETPIVOTDATA(" Duración",$A$3,"Mes","FEBRERO","Area","AREA VILLAFLORES")/GETPIVOTDATA("NI",$A$3,"Mes","FEBRERO","Area","AREA VILLAFLORES")</f>
        <v>695.4</v>
      </c>
      <c r="L15" s="35">
        <f>GETPIVOTDATA("Usuarios Afectados",$A$3,"Mes","FEBRERO","Area","AREA VILLAFLORES")/GETPIVOTDATA("NI",$A$3,"Mes","FEBRERO","Area","AREA VILLAFLORES")</f>
        <v>65.8</v>
      </c>
    </row>
    <row r="16" spans="1:12" x14ac:dyDescent="0.25">
      <c r="A16" s="2"/>
      <c r="B16" s="3" t="s">
        <v>81</v>
      </c>
      <c r="C16" s="7">
        <v>12</v>
      </c>
      <c r="D16" s="4">
        <v>0.50279342168864305</v>
      </c>
      <c r="E16" s="4">
        <v>2372</v>
      </c>
      <c r="F16" s="4">
        <v>268368</v>
      </c>
      <c r="G16" s="4">
        <v>1345</v>
      </c>
      <c r="H16" s="4">
        <v>533754</v>
      </c>
      <c r="I16" s="150">
        <f>GETPIVOTDATA("Usuarios Afectados",$A$3,"Mes","MARZO","Area","AREA VILLAFLORES")/GETPIVOTDATA("Usuarios Zona",$A$3,"Mes","MARZO","Area","AREA VILLAFLORES")</f>
        <v>2.5198874387826601E-3</v>
      </c>
      <c r="J16" s="2">
        <f>GETPIVOTDATA(" DEMUA",$A$3,"Mes","MARZO","Area","AREA VILLAFLORES")/GETPIVOTDATA("Usuarios Afectados",$A$3,"Mes","MARZO","Area","AREA VILLAFLORES")</f>
        <v>199.53011152416357</v>
      </c>
      <c r="K16" s="94">
        <f>GETPIVOTDATA(" Duración",$A$3,"Mes","MARZO","Area","AREA VILLAFLORES")/GETPIVOTDATA("NI",$A$3,"Mes","MARZO","Area","AREA VILLAFLORES")</f>
        <v>197.66666666666666</v>
      </c>
      <c r="L16" s="35">
        <f>GETPIVOTDATA("Usuarios Afectados",$A$3,"Mes","MARZO","Area","AREA VILLAFLORES")/GETPIVOTDATA("NI",$A$3,"Mes","MARZO","Area","AREA VILLAFLORES")</f>
        <v>112.08333333333333</v>
      </c>
    </row>
    <row r="17" spans="1:12" x14ac:dyDescent="0.25">
      <c r="A17" s="2"/>
      <c r="B17" s="3" t="s">
        <v>82</v>
      </c>
      <c r="C17" s="7">
        <v>9</v>
      </c>
      <c r="D17" s="4">
        <v>0.27455344596949155</v>
      </c>
      <c r="E17" s="4">
        <v>2013</v>
      </c>
      <c r="F17" s="4">
        <v>146544</v>
      </c>
      <c r="G17" s="4">
        <v>650</v>
      </c>
      <c r="H17" s="4">
        <v>533754</v>
      </c>
      <c r="I17" s="150">
        <f>GETPIVOTDATA("Usuarios Afectados",$A$3,"Mes","ABRIL","Area","AREA VILLAFLORES")/GETPIVOTDATA("Usuarios Zona",$A$3,"Mes","ABRIL","Area","AREA VILLAFLORES")</f>
        <v>1.2177894685566758E-3</v>
      </c>
      <c r="J17" s="2">
        <f>GETPIVOTDATA(" DEMUA",$A$3,"Mes","ABRIL","Area","AREA VILLAFLORES")/GETPIVOTDATA("Usuarios Afectados",$A$3,"Mes","ABRIL","Area","AREA VILLAFLORES")</f>
        <v>225.4523076923077</v>
      </c>
      <c r="K17" s="94">
        <f>GETPIVOTDATA(" Duración",$A$3,"Mes","ABRIL","Area","AREA VILLAFLORES")/GETPIVOTDATA("NI",$A$3,"Mes","ABRIL","Area","AREA VILLAFLORES")</f>
        <v>223.66666666666666</v>
      </c>
      <c r="L17" s="35">
        <f>GETPIVOTDATA("Usuarios Afectados",$A$3,"Mes","ABRIL","Area","AREA VILLAFLORES")/GETPIVOTDATA("NI",$A$3,"Mes","ABRIL","Area","AREA VILLAFLORES")</f>
        <v>72.222222222222229</v>
      </c>
    </row>
    <row r="18" spans="1:12" x14ac:dyDescent="0.25">
      <c r="A18" s="2"/>
      <c r="B18" s="3" t="s">
        <v>83</v>
      </c>
      <c r="C18" s="7">
        <v>11</v>
      </c>
      <c r="D18" s="4">
        <v>0.2583886959160962</v>
      </c>
      <c r="E18" s="4">
        <v>2101</v>
      </c>
      <c r="F18" s="4">
        <v>137916</v>
      </c>
      <c r="G18" s="4">
        <v>3543</v>
      </c>
      <c r="H18" s="4">
        <v>533754</v>
      </c>
      <c r="I18" s="150">
        <f>GETPIVOTDATA("Usuarios Afectados",$A$3,"Mes","MAYO","Area","AREA VILLAFLORES")/GETPIVOTDATA("Usuarios Zona",$A$3,"Mes","MAYO","Area","AREA VILLAFLORES")</f>
        <v>6.6378893647635424E-3</v>
      </c>
      <c r="J18" s="2">
        <f>GETPIVOTDATA(" DEMUA",$A$3,"Mes","MAYO","Area","AREA VILLAFLORES")/GETPIVOTDATA("Usuarios Afectados",$A$3,"Mes","MAYO","Area","AREA VILLAFLORES")</f>
        <v>38.92633361558002</v>
      </c>
      <c r="K18" s="94">
        <f>GETPIVOTDATA(" Duración",$A$3,"Mes","MAYO","Area","AREA VILLAFLORES")/GETPIVOTDATA("NI",$A$3,"Mes","MAYO","Area","AREA VILLAFLORES")</f>
        <v>191</v>
      </c>
      <c r="L18" s="35">
        <f>GETPIVOTDATA("Usuarios Afectados",$A$3,"Mes","MAYO","Area","AREA VILLAFLORES")/GETPIVOTDATA("NI",$A$3,"Mes","MAYO","Area","AREA VILLAFLORES")</f>
        <v>322.09090909090907</v>
      </c>
    </row>
    <row r="19" spans="1:12" x14ac:dyDescent="0.25">
      <c r="A19" s="3" t="s">
        <v>1059</v>
      </c>
      <c r="B19" s="3" t="s">
        <v>79</v>
      </c>
      <c r="C19" s="7">
        <v>5</v>
      </c>
      <c r="D19" s="4">
        <v>2.7449798971061576</v>
      </c>
      <c r="E19" s="4">
        <v>2848</v>
      </c>
      <c r="F19" s="4">
        <v>1465144</v>
      </c>
      <c r="G19" s="4">
        <v>7970</v>
      </c>
      <c r="H19" s="4">
        <v>533754</v>
      </c>
      <c r="I19" s="150">
        <f>GETPIVOTDATA("Usuarios Afectados",$A$3,"Mes","ENERO","Area","AREA CINTALAPA")/GETPIVOTDATA("Usuarios Zona",$A$3,"Mes","ENERO","Area","AREA CINTALAPA")</f>
        <v>1.4931972406764164E-2</v>
      </c>
      <c r="J19" s="2">
        <f>GETPIVOTDATA(" DEMUA",$A$3,"Mes","ENERO","Area","AREA CINTALAPA")/GETPIVOTDATA("Usuarios Afectados",$A$3,"Mes","ENERO","Area","AREA CINTALAPA")</f>
        <v>183.83237139272271</v>
      </c>
      <c r="K19" s="94">
        <f>GETPIVOTDATA(" Duración",$A$3,"Mes","ENERO","Area","AREA CINTALAPA")/GETPIVOTDATA("NI",$A$3,"Mes","ENERO","Area","AREA CINTALAPA")</f>
        <v>569.6</v>
      </c>
      <c r="L19" s="35">
        <f>GETPIVOTDATA("Usuarios Afectados",$A$3,"Mes","ENERO","Area","AREA CINTALAPA")/GETPIVOTDATA("NI",$A$3,"Mes","ENERO","Area","AREA CINTALAPA")</f>
        <v>1594</v>
      </c>
    </row>
    <row r="20" spans="1:12" x14ac:dyDescent="0.25">
      <c r="A20" s="2"/>
      <c r="B20" s="3" t="s">
        <v>80</v>
      </c>
      <c r="C20" s="7">
        <v>2</v>
      </c>
      <c r="D20" s="4">
        <v>8.5166574864075958E-2</v>
      </c>
      <c r="E20" s="4">
        <v>318</v>
      </c>
      <c r="F20" s="4">
        <v>45458</v>
      </c>
      <c r="G20" s="4">
        <v>287</v>
      </c>
      <c r="H20" s="4">
        <v>533754</v>
      </c>
      <c r="I20" s="150">
        <f>GETPIVOTDATA("Usuarios Afectados",$A$3,"Mes","FEBRERO","Area","AREA CINTALAPA")/GETPIVOTDATA("Usuarios Zona",$A$3,"Mes","FEBRERO","Area","AREA CINTALAPA")</f>
        <v>5.3770088842425539E-4</v>
      </c>
      <c r="J20" s="2">
        <f>GETPIVOTDATA(" DEMUA",$A$3,"Mes","FEBRERO","Area","AREA CINTALAPA")/GETPIVOTDATA("Usuarios Afectados",$A$3,"Mes","FEBRERO","Area","AREA CINTALAPA")</f>
        <v>158.39024390243901</v>
      </c>
      <c r="K20" s="94">
        <f>GETPIVOTDATA(" Duración",$A$3,"Mes","FEBRERO","Area","AREA CINTALAPA")/GETPIVOTDATA("NI",$A$3,"Mes","FEBRERO","Area","AREA CINTALAPA")</f>
        <v>159</v>
      </c>
      <c r="L20" s="35">
        <f>GETPIVOTDATA("Usuarios Afectados",$A$3,"Mes","FEBRERO","Area","AREA CINTALAPA")/GETPIVOTDATA("NI",$A$3,"Mes","FEBRERO","Area","AREA CINTALAPA")</f>
        <v>143.5</v>
      </c>
    </row>
    <row r="21" spans="1:12" x14ac:dyDescent="0.25">
      <c r="A21" s="2"/>
      <c r="B21" s="3" t="s">
        <v>81</v>
      </c>
      <c r="C21" s="7">
        <v>6</v>
      </c>
      <c r="D21" s="4">
        <v>0.18047827276235867</v>
      </c>
      <c r="E21" s="4">
        <v>1568</v>
      </c>
      <c r="F21" s="4">
        <v>96331</v>
      </c>
      <c r="G21" s="4">
        <v>388</v>
      </c>
      <c r="H21" s="4">
        <v>533754</v>
      </c>
      <c r="I21" s="150">
        <f>GETPIVOTDATA("Usuarios Afectados",$A$3,"Mes","MARZO","Area","AREA CINTALAPA")/GETPIVOTDATA("Usuarios Zona",$A$3,"Mes","MARZO","Area","AREA CINTALAPA")</f>
        <v>7.269266366153696E-4</v>
      </c>
      <c r="J21" s="2">
        <f>GETPIVOTDATA(" DEMUA",$A$3,"Mes","MARZO","Area","AREA CINTALAPA")/GETPIVOTDATA("Usuarios Afectados",$A$3,"Mes","MARZO","Area","AREA CINTALAPA")</f>
        <v>248.2757731958763</v>
      </c>
      <c r="K21" s="94">
        <f>GETPIVOTDATA(" Duración",$A$3,"Mes","MARZO","Area","AREA CINTALAPA")/GETPIVOTDATA("NI",$A$3,"Mes","MARZO","Area","AREA CINTALAPA")</f>
        <v>261.33333333333331</v>
      </c>
      <c r="L21" s="35">
        <f>GETPIVOTDATA("Usuarios Afectados",$A$3,"Mes","MARZO","Area","AREA CINTALAPA")/GETPIVOTDATA("NI",$A$3,"Mes","MARZO","Area","AREA CINTALAPA")</f>
        <v>64.666666666666671</v>
      </c>
    </row>
    <row r="22" spans="1:12" x14ac:dyDescent="0.25">
      <c r="A22" s="2"/>
      <c r="B22" s="3" t="s">
        <v>82</v>
      </c>
      <c r="C22" s="7">
        <v>2</v>
      </c>
      <c r="D22" s="4">
        <v>8.2157698115611313E-2</v>
      </c>
      <c r="E22" s="4">
        <v>1024</v>
      </c>
      <c r="F22" s="4">
        <v>43852</v>
      </c>
      <c r="G22" s="4">
        <v>98</v>
      </c>
      <c r="H22" s="4">
        <v>533754</v>
      </c>
      <c r="I22" s="150">
        <f>GETPIVOTDATA("Usuarios Afectados",$A$3,"Mes","ABRIL","Area","AREA CINTALAPA")/GETPIVOTDATA("Usuarios Zona",$A$3,"Mes","ABRIL","Area","AREA CINTALAPA")</f>
        <v>1.8360518141316036E-4</v>
      </c>
      <c r="J22" s="2">
        <f>GETPIVOTDATA(" DEMUA",$A$3,"Mes","ABRIL","Area","AREA CINTALAPA")/GETPIVOTDATA("Usuarios Afectados",$A$3,"Mes","ABRIL","Area","AREA CINTALAPA")</f>
        <v>447.46938775510205</v>
      </c>
      <c r="K22" s="94">
        <f>GETPIVOTDATA(" Duración",$A$3,"Mes","ABRIL","Area","AREA CINTALAPA")/GETPIVOTDATA("NI",$A$3,"Mes","ABRIL","Area","AREA CINTALAPA")</f>
        <v>512</v>
      </c>
      <c r="L22" s="35">
        <f>GETPIVOTDATA("Usuarios Afectados",$A$3,"Mes","ABRIL","Area","AREA CINTALAPA")/GETPIVOTDATA("NI",$A$3,"Mes","ABRIL","Area","AREA CINTALAPA")</f>
        <v>49</v>
      </c>
    </row>
    <row r="23" spans="1:12" x14ac:dyDescent="0.25">
      <c r="A23" s="2"/>
      <c r="B23" s="3" t="s">
        <v>83</v>
      </c>
      <c r="C23" s="7">
        <v>17</v>
      </c>
      <c r="D23" s="4">
        <v>0.59080400334236371</v>
      </c>
      <c r="E23" s="4">
        <v>8412</v>
      </c>
      <c r="F23" s="4">
        <v>315344</v>
      </c>
      <c r="G23" s="4">
        <v>1151</v>
      </c>
      <c r="H23" s="4">
        <v>533754</v>
      </c>
      <c r="I23" s="150">
        <f>GETPIVOTDATA("Usuarios Afectados",$A$3,"Mes","MAYO","Area","AREA CINTALAPA")/GETPIVOTDATA("Usuarios Zona",$A$3,"Mes","MAYO","Area","AREA CINTALAPA")</f>
        <v>2.1564241204749751E-3</v>
      </c>
      <c r="J23" s="2">
        <f>GETPIVOTDATA(" DEMUA",$A$3,"Mes","MAYO","Area","AREA CINTALAPA")/GETPIVOTDATA("Usuarios Afectados",$A$3,"Mes","MAYO","Area","AREA CINTALAPA")</f>
        <v>273.97393570807992</v>
      </c>
      <c r="K23" s="94">
        <f>GETPIVOTDATA(" Duración",$A$3,"Mes","MAYO","Area","AREA CINTALAPA")/GETPIVOTDATA("NI",$A$3,"Mes","MAYO","Area","AREA CINTALAPA")</f>
        <v>494.8235294117647</v>
      </c>
      <c r="L23" s="35">
        <f>GETPIVOTDATA("Usuarios Afectados",$A$3,"Mes","MAYO","Area","AREA CINTALAPA")/GETPIVOTDATA("NI",$A$3,"Mes","MAYO","Area","AREA CINTALAPA")</f>
        <v>67.705882352941174</v>
      </c>
    </row>
    <row r="24" spans="1:12" x14ac:dyDescent="0.25">
      <c r="A24" s="3" t="s">
        <v>1060</v>
      </c>
      <c r="B24" s="3" t="s">
        <v>80</v>
      </c>
      <c r="C24" s="7">
        <v>1</v>
      </c>
      <c r="D24" s="4">
        <v>2.577966628821517E-2</v>
      </c>
      <c r="E24" s="4">
        <v>320</v>
      </c>
      <c r="F24" s="4">
        <v>13760</v>
      </c>
      <c r="G24" s="4">
        <v>43</v>
      </c>
      <c r="H24" s="4">
        <v>533754</v>
      </c>
      <c r="I24" s="150">
        <f>GETPIVOTDATA("Usuarios Afectados",$A$3,"Mes","FEBRERO","Area","AREA BOCHIL")/GETPIVOTDATA("Usuarios Zona",$A$3,"Mes","FEBRERO","Area","AREA BOCHIL")</f>
        <v>8.0561457150672409E-5</v>
      </c>
      <c r="J24" s="134">
        <f>GETPIVOTDATA(" DEMUA",$A$3,"Mes","FEBRERO","Area","AREA BOCHIL")/GETPIVOTDATA("Usuarios Afectados",$A$3,"Mes","FEBRERO","Area","AREA BOCHIL")</f>
        <v>320</v>
      </c>
      <c r="K24" s="94">
        <f>GETPIVOTDATA(" Duración",$A$3,"Mes","FEBRERO","Area","AREA BOCHIL")/GETPIVOTDATA("NI",$A$3,"Mes","FEBRERO","Area","AREA BOCHIL")</f>
        <v>320</v>
      </c>
      <c r="L24" s="35">
        <f>GETPIVOTDATA("Usuarios Afectados",$A$3,"Mes","FEBRERO","Area","AREA BOCHIL")/GETPIVOTDATA("NI",$A$3,"Mes","FEBRERO","Area","AREA BOCHIL")</f>
        <v>43</v>
      </c>
    </row>
    <row r="25" spans="1:12" x14ac:dyDescent="0.25">
      <c r="A25" s="2"/>
      <c r="B25" s="3" t="s">
        <v>81</v>
      </c>
      <c r="C25" s="7">
        <v>1</v>
      </c>
      <c r="D25" s="4">
        <v>5.9465596510752143E-3</v>
      </c>
      <c r="E25" s="4">
        <v>69</v>
      </c>
      <c r="F25" s="4">
        <v>3174</v>
      </c>
      <c r="G25" s="4">
        <v>46</v>
      </c>
      <c r="H25" s="4">
        <v>533754</v>
      </c>
      <c r="I25" s="150">
        <f>GETPIVOTDATA("Usuarios Afectados",$A$3,"Mes","MARZO","Area","AREA BOCHIL")/GETPIVOTDATA("Usuarios Zona",$A$3,"Mes","MARZO","Area","AREA BOCHIL")</f>
        <v>8.6182023928626302E-5</v>
      </c>
      <c r="J25" s="134">
        <f>GETPIVOTDATA(" DEMUA",$A$3,"Mes","MARZO","Area","AREA BOCHIL")/GETPIVOTDATA("Usuarios Afectados",$A$3,"Mes","MARZO","Area","AREA BOCHIL")</f>
        <v>69</v>
      </c>
      <c r="K25" s="94">
        <f>GETPIVOTDATA(" Duración",$A$3,"Mes","MARZO","Area","AREA BOCHIL")/GETPIVOTDATA("NI",$A$3,"Mes","MARZO","Area","AREA BOCHIL")</f>
        <v>69</v>
      </c>
      <c r="L25" s="35">
        <f>GETPIVOTDATA("Usuarios Afectados",$A$3,"Mes","MARZO","Area","AREA BOCHIL")/GETPIVOTDATA("NI",$A$3,"Mes","MARZO","Area","AREA BOCHIL")</f>
        <v>46</v>
      </c>
    </row>
    <row r="26" spans="1:12" x14ac:dyDescent="0.25">
      <c r="A26" s="2"/>
      <c r="B26" s="3" t="s">
        <v>82</v>
      </c>
      <c r="C26" s="7">
        <v>1</v>
      </c>
      <c r="D26" s="4">
        <v>1.8997515709484145E-2</v>
      </c>
      <c r="E26" s="4">
        <v>130</v>
      </c>
      <c r="F26" s="4">
        <v>10140</v>
      </c>
      <c r="G26" s="4">
        <v>78</v>
      </c>
      <c r="H26" s="4">
        <v>533754</v>
      </c>
      <c r="I26" s="150">
        <f>GETPIVOTDATA("Usuarios Afectados",$A$3,"Mes","ABRIL","Area","AREA BOCHIL")/GETPIVOTDATA("Usuarios Zona",$A$3,"Mes","ABRIL","Area","AREA BOCHIL")</f>
        <v>1.4613473622680112E-4</v>
      </c>
      <c r="J26" s="134">
        <f>GETPIVOTDATA(" DEMUA",$A$3,"Mes","ABRIL","Area","AREA BOCHIL")/GETPIVOTDATA("Usuarios Afectados",$A$3,"Mes","ABRIL","Area","AREA BOCHIL")</f>
        <v>130</v>
      </c>
      <c r="K26" s="94">
        <f>GETPIVOTDATA(" Duración",$A$3,"Mes","ABRIL","Area","AREA BOCHIL")/GETPIVOTDATA("NI",$A$3,"Mes","ABRIL","Area","AREA BOCHIL")</f>
        <v>130</v>
      </c>
      <c r="L26" s="35">
        <f>GETPIVOTDATA("Usuarios Afectados",$A$3,"Mes","ABRIL","Area","AREA BOCHIL")/GETPIVOTDATA("NI",$A$3,"Mes","ABRIL","Area","AREA BOCHIL")</f>
        <v>78</v>
      </c>
    </row>
    <row r="27" spans="1:12" x14ac:dyDescent="0.25">
      <c r="A27" s="2"/>
      <c r="B27" s="3" t="s">
        <v>83</v>
      </c>
      <c r="C27" s="7">
        <v>2</v>
      </c>
      <c r="D27" s="4">
        <v>1.3472498566755472E-2</v>
      </c>
      <c r="E27" s="4">
        <v>189</v>
      </c>
      <c r="F27" s="4">
        <v>7191</v>
      </c>
      <c r="G27" s="4">
        <v>75</v>
      </c>
      <c r="H27" s="4">
        <v>533754</v>
      </c>
      <c r="I27" s="150">
        <f>GETPIVOTDATA("Usuarios Afectados",$A$3,"Mes","MAYO","Area","AREA BOCHIL")/GETPIVOTDATA("Usuarios Zona",$A$3,"Mes","MAYO","Area","AREA BOCHIL")</f>
        <v>1.4051416944884721E-4</v>
      </c>
      <c r="J27" s="134">
        <f>GETPIVOTDATA(" DEMUA",$A$3,"Mes","MAYO","Area","AREA BOCHIL")/GETPIVOTDATA("Usuarios Afectados",$A$3,"Mes","MAYO","Area","AREA BOCHIL")</f>
        <v>95.88</v>
      </c>
      <c r="K27" s="94">
        <f>GETPIVOTDATA(" Duración",$A$3,"Mes","MAYO","Area","AREA BOCHIL")/GETPIVOTDATA("NI",$A$3,"Mes","MAYO","Area","AREA BOCHIL")</f>
        <v>94.5</v>
      </c>
      <c r="L27" s="35">
        <f>GETPIVOTDATA("Usuarios Afectados",$A$3,"Mes","MAYO","Area","AREA BOCHIL")/GETPIVOTDATA("NI",$A$3,"Mes","MAYO","Area","AREA BOCHIL")</f>
        <v>37.5</v>
      </c>
    </row>
    <row r="28" spans="1:12" x14ac:dyDescent="0.25">
      <c r="A28" s="3" t="s">
        <v>1061</v>
      </c>
      <c r="B28" s="3" t="s">
        <v>79</v>
      </c>
      <c r="C28" s="7"/>
      <c r="D28" s="4">
        <v>0</v>
      </c>
      <c r="E28" s="4">
        <v>0</v>
      </c>
      <c r="F28" s="4">
        <v>0</v>
      </c>
      <c r="G28" s="4">
        <v>0</v>
      </c>
      <c r="H28" s="4">
        <v>533754</v>
      </c>
      <c r="I28" s="150"/>
      <c r="J28" s="2"/>
      <c r="K28" s="2"/>
      <c r="L28" s="35"/>
    </row>
    <row r="29" spans="1:12" x14ac:dyDescent="0.25">
      <c r="A29" s="32" t="s">
        <v>28</v>
      </c>
      <c r="B29" s="29"/>
      <c r="C29" s="33">
        <v>226</v>
      </c>
      <c r="D29" s="34">
        <v>10.584638241586942</v>
      </c>
      <c r="E29" s="34">
        <v>68486</v>
      </c>
      <c r="F29" s="34">
        <v>5649593</v>
      </c>
      <c r="G29" s="34">
        <v>31825</v>
      </c>
      <c r="H29" s="34">
        <v>533754</v>
      </c>
      <c r="I29" s="151">
        <f>GETPIVOTDATA("Usuarios Afectados",$A$3)/GETPIVOTDATA("Usuarios Zona",$A$3)</f>
        <v>5.9624845902794169E-2</v>
      </c>
      <c r="J29" s="124">
        <f>GETPIVOTDATA(" DEMUA",$A$3)/GETPIVOTDATA("Usuarios Afectados",$A$3)</f>
        <v>177.52059701492539</v>
      </c>
      <c r="K29" s="124">
        <f>GETPIVOTDATA(" Duración",$A$3)/GETPIVOTDATA("NI",$A$3)</f>
        <v>303.0353982300885</v>
      </c>
      <c r="L29" s="37">
        <f>GETPIVOTDATA("Usuarios Afectados",$A$3)/GETPIVOTDATA("NI",$A$3)</f>
        <v>140.81858407079645</v>
      </c>
    </row>
  </sheetData>
  <mergeCells count="1">
    <mergeCell ref="A2:L2"/>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H72"/>
  <sheetViews>
    <sheetView workbookViewId="0">
      <selection activeCell="J5" sqref="J5"/>
    </sheetView>
  </sheetViews>
  <sheetFormatPr baseColWidth="10" defaultRowHeight="15" x14ac:dyDescent="0.25"/>
  <cols>
    <col min="1" max="1" width="11.85546875" style="5" customWidth="1"/>
    <col min="2" max="2" width="20.7109375" style="5" customWidth="1"/>
    <col min="3" max="5" width="16.85546875" style="5" customWidth="1"/>
    <col min="6" max="6" width="22.7109375" bestFit="1" customWidth="1"/>
    <col min="7" max="7" width="21" bestFit="1" customWidth="1"/>
    <col min="8" max="8" width="17.5703125" bestFit="1" customWidth="1"/>
  </cols>
  <sheetData>
    <row r="1" spans="1:8" x14ac:dyDescent="0.25">
      <c r="A1" s="54"/>
      <c r="B1" s="54"/>
    </row>
    <row r="2" spans="1:8" x14ac:dyDescent="0.25">
      <c r="A2" s="179" t="s">
        <v>1053</v>
      </c>
      <c r="B2" s="179"/>
      <c r="C2" s="179"/>
      <c r="D2" s="179"/>
      <c r="E2" s="179"/>
      <c r="F2" s="179"/>
      <c r="G2" s="179"/>
      <c r="H2" s="179"/>
    </row>
    <row r="3" spans="1:8" x14ac:dyDescent="0.25">
      <c r="A3" s="125" t="s">
        <v>1047</v>
      </c>
      <c r="B3" s="125" t="s">
        <v>4</v>
      </c>
      <c r="C3" s="125" t="s">
        <v>34</v>
      </c>
      <c r="D3" s="126" t="s">
        <v>29</v>
      </c>
      <c r="E3" s="127"/>
      <c r="F3" s="126" t="s">
        <v>1048</v>
      </c>
      <c r="G3" s="128"/>
      <c r="H3" s="127"/>
    </row>
    <row r="4" spans="1:8" x14ac:dyDescent="0.25">
      <c r="A4" s="129"/>
      <c r="B4" s="129"/>
      <c r="C4" s="129"/>
      <c r="D4" s="125" t="s">
        <v>1049</v>
      </c>
      <c r="E4" s="125" t="s">
        <v>5</v>
      </c>
      <c r="F4" s="125" t="s">
        <v>1050</v>
      </c>
      <c r="G4" s="125" t="s">
        <v>1051</v>
      </c>
      <c r="H4" s="125" t="s">
        <v>1052</v>
      </c>
    </row>
    <row r="5" spans="1:8" x14ac:dyDescent="0.25">
      <c r="A5" s="131" t="s">
        <v>187</v>
      </c>
      <c r="B5" s="131">
        <v>4012</v>
      </c>
      <c r="C5" s="131">
        <v>2.8159999999999998</v>
      </c>
      <c r="D5" s="130">
        <v>0</v>
      </c>
      <c r="E5" s="130">
        <v>7</v>
      </c>
      <c r="F5" s="130">
        <v>671</v>
      </c>
      <c r="G5" s="130">
        <v>524</v>
      </c>
      <c r="H5" s="132">
        <v>147</v>
      </c>
    </row>
    <row r="6" spans="1:8" x14ac:dyDescent="0.25">
      <c r="A6" s="131" t="s">
        <v>376</v>
      </c>
      <c r="B6" s="131">
        <v>4010</v>
      </c>
      <c r="C6" s="131">
        <v>0.74299999999999999</v>
      </c>
      <c r="D6" s="130">
        <v>0</v>
      </c>
      <c r="E6" s="130">
        <v>16</v>
      </c>
      <c r="F6" s="130">
        <v>50</v>
      </c>
      <c r="G6" s="130">
        <v>20</v>
      </c>
      <c r="H6" s="132">
        <v>30</v>
      </c>
    </row>
    <row r="7" spans="1:8" x14ac:dyDescent="0.25">
      <c r="A7" s="131" t="s">
        <v>366</v>
      </c>
      <c r="B7" s="131">
        <v>4090</v>
      </c>
      <c r="C7" s="131">
        <v>0.44500000000000001</v>
      </c>
      <c r="D7" s="130">
        <v>0</v>
      </c>
      <c r="E7" s="130">
        <v>9</v>
      </c>
      <c r="F7" s="130">
        <v>230</v>
      </c>
      <c r="G7" s="130">
        <v>230</v>
      </c>
      <c r="H7" s="130">
        <v>0</v>
      </c>
    </row>
    <row r="8" spans="1:8" x14ac:dyDescent="0.25">
      <c r="A8" s="131" t="s">
        <v>352</v>
      </c>
      <c r="B8" s="131">
        <v>4010</v>
      </c>
      <c r="C8" s="131">
        <v>0.40400000000000003</v>
      </c>
      <c r="D8" s="130">
        <v>1</v>
      </c>
      <c r="E8" s="130">
        <v>13</v>
      </c>
      <c r="F8" s="130">
        <v>450</v>
      </c>
      <c r="G8" s="130">
        <v>93</v>
      </c>
      <c r="H8" s="132">
        <v>357</v>
      </c>
    </row>
    <row r="9" spans="1:8" x14ac:dyDescent="0.25">
      <c r="A9" s="131" t="s">
        <v>352</v>
      </c>
      <c r="B9" s="131">
        <v>4020</v>
      </c>
      <c r="C9" s="131">
        <v>0.38500000000000001</v>
      </c>
      <c r="D9" s="130">
        <v>0</v>
      </c>
      <c r="E9" s="130">
        <v>8</v>
      </c>
      <c r="F9" s="130">
        <v>18</v>
      </c>
      <c r="G9" s="130">
        <v>19</v>
      </c>
      <c r="H9" s="130">
        <v>0</v>
      </c>
    </row>
    <row r="10" spans="1:8" x14ac:dyDescent="0.25">
      <c r="A10" s="131" t="s">
        <v>397</v>
      </c>
      <c r="B10" s="131">
        <v>4045</v>
      </c>
      <c r="C10" s="131">
        <v>0.34</v>
      </c>
      <c r="D10" s="130">
        <v>1</v>
      </c>
      <c r="E10" s="130">
        <v>6</v>
      </c>
      <c r="F10" s="130">
        <v>2</v>
      </c>
      <c r="G10" s="130">
        <v>1</v>
      </c>
      <c r="H10" s="130">
        <v>1</v>
      </c>
    </row>
    <row r="11" spans="1:8" x14ac:dyDescent="0.25">
      <c r="A11" s="131" t="s">
        <v>324</v>
      </c>
      <c r="B11" s="131">
        <v>4030</v>
      </c>
      <c r="C11" s="131">
        <v>0.33</v>
      </c>
      <c r="D11" s="130">
        <v>0</v>
      </c>
      <c r="E11" s="130">
        <v>6</v>
      </c>
      <c r="F11" s="130">
        <v>32</v>
      </c>
      <c r="G11" s="130">
        <v>34</v>
      </c>
      <c r="H11" s="130">
        <v>0</v>
      </c>
    </row>
    <row r="12" spans="1:8" x14ac:dyDescent="0.25">
      <c r="A12" s="131" t="s">
        <v>489</v>
      </c>
      <c r="B12" s="131">
        <v>4042</v>
      </c>
      <c r="C12" s="131">
        <v>0.28999999999999998</v>
      </c>
      <c r="D12" s="130">
        <v>0</v>
      </c>
      <c r="E12" s="130">
        <v>2</v>
      </c>
      <c r="F12" s="130">
        <v>155</v>
      </c>
      <c r="G12" s="130">
        <v>136</v>
      </c>
      <c r="H12" s="132">
        <v>19</v>
      </c>
    </row>
    <row r="13" spans="1:8" x14ac:dyDescent="0.25">
      <c r="A13" s="131" t="s">
        <v>352</v>
      </c>
      <c r="B13" s="131">
        <v>4030</v>
      </c>
      <c r="C13" s="131">
        <v>0.25700000000000001</v>
      </c>
      <c r="D13" s="130">
        <v>0</v>
      </c>
      <c r="E13" s="130">
        <v>7</v>
      </c>
      <c r="F13" s="130">
        <v>144</v>
      </c>
      <c r="G13" s="130">
        <v>17</v>
      </c>
      <c r="H13" s="132">
        <v>127</v>
      </c>
    </row>
    <row r="14" spans="1:8" x14ac:dyDescent="0.25">
      <c r="A14" s="131" t="s">
        <v>214</v>
      </c>
      <c r="B14" s="131">
        <v>4050</v>
      </c>
      <c r="C14" s="131">
        <v>0.254</v>
      </c>
      <c r="D14" s="130">
        <v>0</v>
      </c>
      <c r="E14" s="130">
        <v>5</v>
      </c>
      <c r="F14" s="130">
        <v>49</v>
      </c>
      <c r="G14" s="130">
        <v>58</v>
      </c>
      <c r="H14" s="130">
        <v>0</v>
      </c>
    </row>
    <row r="15" spans="1:8" x14ac:dyDescent="0.25">
      <c r="A15" s="131" t="s">
        <v>330</v>
      </c>
      <c r="B15" s="131">
        <v>4030</v>
      </c>
      <c r="C15" s="131">
        <v>0.247</v>
      </c>
      <c r="D15" s="130">
        <v>0</v>
      </c>
      <c r="E15" s="130">
        <v>7</v>
      </c>
      <c r="F15" s="130">
        <v>37</v>
      </c>
      <c r="G15" s="130">
        <v>37</v>
      </c>
      <c r="H15" s="130">
        <v>0</v>
      </c>
    </row>
    <row r="16" spans="1:8" x14ac:dyDescent="0.25">
      <c r="A16" s="131" t="s">
        <v>366</v>
      </c>
      <c r="B16" s="131">
        <v>4100</v>
      </c>
      <c r="C16" s="131">
        <v>0.23699999999999999</v>
      </c>
      <c r="D16" s="130">
        <v>0</v>
      </c>
      <c r="E16" s="130">
        <v>2</v>
      </c>
      <c r="F16" s="130">
        <v>15</v>
      </c>
      <c r="G16" s="130">
        <v>15</v>
      </c>
      <c r="H16" s="130">
        <v>0</v>
      </c>
    </row>
    <row r="17" spans="1:8" x14ac:dyDescent="0.25">
      <c r="A17" s="131" t="s">
        <v>397</v>
      </c>
      <c r="B17" s="131">
        <v>4015</v>
      </c>
      <c r="C17" s="131">
        <v>0.214</v>
      </c>
      <c r="D17" s="130">
        <v>0</v>
      </c>
      <c r="E17" s="130">
        <v>4</v>
      </c>
      <c r="F17" s="130">
        <v>7</v>
      </c>
      <c r="G17" s="130">
        <v>7</v>
      </c>
      <c r="H17" s="130">
        <v>0</v>
      </c>
    </row>
    <row r="18" spans="1:8" x14ac:dyDescent="0.25">
      <c r="A18" s="131" t="s">
        <v>361</v>
      </c>
      <c r="B18" s="131">
        <v>4020</v>
      </c>
      <c r="C18" s="131">
        <v>0.21299999999999999</v>
      </c>
      <c r="D18" s="130">
        <v>0</v>
      </c>
      <c r="E18" s="130">
        <v>7</v>
      </c>
      <c r="F18" s="130">
        <v>18</v>
      </c>
      <c r="G18" s="130">
        <v>18</v>
      </c>
      <c r="H18" s="130">
        <v>0</v>
      </c>
    </row>
    <row r="19" spans="1:8" x14ac:dyDescent="0.25">
      <c r="A19" s="131" t="s">
        <v>343</v>
      </c>
      <c r="B19" s="131">
        <v>4010</v>
      </c>
      <c r="C19" s="131">
        <v>0.184</v>
      </c>
      <c r="D19" s="130">
        <v>0</v>
      </c>
      <c r="E19" s="130">
        <v>7</v>
      </c>
      <c r="F19" s="130">
        <v>66</v>
      </c>
      <c r="G19" s="130">
        <v>66</v>
      </c>
      <c r="H19" s="130">
        <v>0</v>
      </c>
    </row>
    <row r="20" spans="1:8" x14ac:dyDescent="0.25">
      <c r="A20" s="131" t="s">
        <v>381</v>
      </c>
      <c r="B20" s="131">
        <v>4010</v>
      </c>
      <c r="C20" s="131">
        <v>0.17100000000000001</v>
      </c>
      <c r="D20" s="130">
        <v>1</v>
      </c>
      <c r="E20" s="130">
        <v>9</v>
      </c>
      <c r="F20" s="130">
        <v>23</v>
      </c>
      <c r="G20" s="130">
        <v>23</v>
      </c>
      <c r="H20" s="130">
        <v>0</v>
      </c>
    </row>
    <row r="21" spans="1:8" x14ac:dyDescent="0.25">
      <c r="A21" s="131" t="s">
        <v>366</v>
      </c>
      <c r="B21" s="131">
        <v>4070</v>
      </c>
      <c r="C21" s="131">
        <v>0.155</v>
      </c>
      <c r="D21" s="130">
        <v>0</v>
      </c>
      <c r="E21" s="130">
        <v>3</v>
      </c>
      <c r="F21" s="130">
        <v>43</v>
      </c>
      <c r="G21" s="130">
        <v>43</v>
      </c>
      <c r="H21" s="130">
        <v>0</v>
      </c>
    </row>
    <row r="22" spans="1:8" x14ac:dyDescent="0.25">
      <c r="A22" s="131" t="s">
        <v>324</v>
      </c>
      <c r="B22" s="131">
        <v>4020</v>
      </c>
      <c r="C22" s="131">
        <v>0.151</v>
      </c>
      <c r="D22" s="130">
        <v>0</v>
      </c>
      <c r="E22" s="130">
        <v>8</v>
      </c>
      <c r="F22" s="130">
        <v>3</v>
      </c>
      <c r="G22" s="130">
        <v>0</v>
      </c>
      <c r="H22" s="132">
        <v>3</v>
      </c>
    </row>
    <row r="23" spans="1:8" x14ac:dyDescent="0.25">
      <c r="A23" s="131" t="s">
        <v>361</v>
      </c>
      <c r="B23" s="131">
        <v>4030</v>
      </c>
      <c r="C23" s="131">
        <v>0.14799999999999999</v>
      </c>
      <c r="D23" s="130">
        <v>0</v>
      </c>
      <c r="E23" s="130">
        <v>4</v>
      </c>
      <c r="F23" s="130">
        <v>5</v>
      </c>
      <c r="G23" s="130">
        <v>5</v>
      </c>
      <c r="H23" s="130">
        <v>0</v>
      </c>
    </row>
    <row r="24" spans="1:8" x14ac:dyDescent="0.25">
      <c r="A24" s="131" t="s">
        <v>330</v>
      </c>
      <c r="B24" s="131">
        <v>4020</v>
      </c>
      <c r="C24" s="131">
        <v>0.14499999999999999</v>
      </c>
      <c r="D24" s="130">
        <v>0</v>
      </c>
      <c r="E24" s="130">
        <v>3</v>
      </c>
      <c r="F24" s="130">
        <v>183</v>
      </c>
      <c r="G24" s="130">
        <v>183</v>
      </c>
      <c r="H24" s="130">
        <v>0</v>
      </c>
    </row>
    <row r="25" spans="1:8" x14ac:dyDescent="0.25">
      <c r="A25" s="131" t="s">
        <v>343</v>
      </c>
      <c r="B25" s="131">
        <v>4020</v>
      </c>
      <c r="C25" s="131">
        <v>0.13600000000000001</v>
      </c>
      <c r="D25" s="130">
        <v>0</v>
      </c>
      <c r="E25" s="130">
        <v>5</v>
      </c>
      <c r="F25" s="130">
        <v>157</v>
      </c>
      <c r="G25" s="130">
        <v>156</v>
      </c>
      <c r="H25" s="130">
        <v>1</v>
      </c>
    </row>
    <row r="26" spans="1:8" x14ac:dyDescent="0.25">
      <c r="A26" s="131" t="s">
        <v>393</v>
      </c>
      <c r="B26" s="131">
        <v>4040</v>
      </c>
      <c r="C26" s="131">
        <v>0.129</v>
      </c>
      <c r="D26" s="130">
        <v>0</v>
      </c>
      <c r="E26" s="130">
        <v>3</v>
      </c>
      <c r="F26" s="130">
        <v>121</v>
      </c>
      <c r="G26" s="130">
        <v>121</v>
      </c>
      <c r="H26" s="130">
        <v>0</v>
      </c>
    </row>
    <row r="27" spans="1:8" x14ac:dyDescent="0.25">
      <c r="A27" s="131" t="s">
        <v>214</v>
      </c>
      <c r="B27" s="131">
        <v>4040</v>
      </c>
      <c r="C27" s="131">
        <v>0.128</v>
      </c>
      <c r="D27" s="130">
        <v>0</v>
      </c>
      <c r="E27" s="130">
        <v>2</v>
      </c>
      <c r="F27" s="130">
        <v>53</v>
      </c>
      <c r="G27" s="130">
        <v>66</v>
      </c>
      <c r="H27" s="130">
        <v>0</v>
      </c>
    </row>
    <row r="28" spans="1:8" x14ac:dyDescent="0.25">
      <c r="A28" s="131" t="s">
        <v>352</v>
      </c>
      <c r="B28" s="131">
        <v>5010</v>
      </c>
      <c r="C28" s="131">
        <v>0.115</v>
      </c>
      <c r="D28" s="130">
        <v>0</v>
      </c>
      <c r="E28" s="130">
        <v>3</v>
      </c>
      <c r="F28" s="130">
        <v>191</v>
      </c>
      <c r="G28" s="130">
        <v>88</v>
      </c>
      <c r="H28" s="132">
        <v>103</v>
      </c>
    </row>
    <row r="29" spans="1:8" x14ac:dyDescent="0.25">
      <c r="A29" s="131" t="s">
        <v>430</v>
      </c>
      <c r="B29" s="131">
        <v>4032</v>
      </c>
      <c r="C29" s="131">
        <v>0.104</v>
      </c>
      <c r="D29" s="130">
        <v>0</v>
      </c>
      <c r="E29" s="130">
        <v>4</v>
      </c>
      <c r="F29" s="130">
        <v>10</v>
      </c>
      <c r="G29" s="130">
        <v>10</v>
      </c>
      <c r="H29" s="130">
        <v>0</v>
      </c>
    </row>
    <row r="30" spans="1:8" x14ac:dyDescent="0.25">
      <c r="A30" s="131" t="s">
        <v>208</v>
      </c>
      <c r="B30" s="131">
        <v>4040</v>
      </c>
      <c r="C30" s="131">
        <v>0.10299999999999999</v>
      </c>
      <c r="D30" s="130">
        <v>0</v>
      </c>
      <c r="E30" s="130">
        <v>4</v>
      </c>
      <c r="F30" s="130">
        <v>153</v>
      </c>
      <c r="G30" s="130">
        <v>72</v>
      </c>
      <c r="H30" s="132">
        <v>81</v>
      </c>
    </row>
    <row r="31" spans="1:8" x14ac:dyDescent="0.25">
      <c r="A31" s="131" t="s">
        <v>208</v>
      </c>
      <c r="B31" s="131">
        <v>4010</v>
      </c>
      <c r="C31" s="131">
        <v>0.10100000000000001</v>
      </c>
      <c r="D31" s="130">
        <v>0</v>
      </c>
      <c r="E31" s="130">
        <v>4</v>
      </c>
      <c r="F31" s="130">
        <v>158</v>
      </c>
      <c r="G31" s="130">
        <v>146</v>
      </c>
      <c r="H31" s="132">
        <v>12</v>
      </c>
    </row>
    <row r="32" spans="1:8" x14ac:dyDescent="0.25">
      <c r="A32" s="131" t="s">
        <v>361</v>
      </c>
      <c r="B32" s="131">
        <v>4060</v>
      </c>
      <c r="C32" s="131">
        <v>9.9000000000000005E-2</v>
      </c>
      <c r="D32" s="130">
        <v>0</v>
      </c>
      <c r="E32" s="130">
        <v>4</v>
      </c>
      <c r="F32" s="130">
        <v>14</v>
      </c>
      <c r="G32" s="130">
        <v>14</v>
      </c>
      <c r="H32" s="130">
        <v>0</v>
      </c>
    </row>
    <row r="33" spans="1:8" x14ac:dyDescent="0.25">
      <c r="A33" s="131" t="s">
        <v>397</v>
      </c>
      <c r="B33" s="131">
        <v>4035</v>
      </c>
      <c r="C33" s="131">
        <v>8.7999999999999995E-2</v>
      </c>
      <c r="D33" s="130">
        <v>0</v>
      </c>
      <c r="E33" s="130">
        <v>2</v>
      </c>
      <c r="F33" s="130">
        <v>29</v>
      </c>
      <c r="G33" s="130">
        <v>29</v>
      </c>
      <c r="H33" s="130">
        <v>0</v>
      </c>
    </row>
    <row r="34" spans="1:8" x14ac:dyDescent="0.25">
      <c r="A34" s="131" t="s">
        <v>343</v>
      </c>
      <c r="B34" s="131">
        <v>4050</v>
      </c>
      <c r="C34" s="131">
        <v>8.4000000000000005E-2</v>
      </c>
      <c r="D34" s="130">
        <v>0</v>
      </c>
      <c r="E34" s="130">
        <v>2</v>
      </c>
      <c r="F34" s="130">
        <v>100</v>
      </c>
      <c r="G34" s="130">
        <v>100</v>
      </c>
      <c r="H34" s="130">
        <v>0</v>
      </c>
    </row>
    <row r="35" spans="1:8" x14ac:dyDescent="0.25">
      <c r="A35" s="131" t="s">
        <v>381</v>
      </c>
      <c r="B35" s="131">
        <v>4040</v>
      </c>
      <c r="C35" s="131">
        <v>0.08</v>
      </c>
      <c r="D35" s="130">
        <v>0</v>
      </c>
      <c r="E35" s="130">
        <v>3</v>
      </c>
      <c r="F35" s="130">
        <v>24</v>
      </c>
      <c r="G35" s="130">
        <v>24</v>
      </c>
      <c r="H35" s="130">
        <v>0</v>
      </c>
    </row>
    <row r="36" spans="1:8" x14ac:dyDescent="0.25">
      <c r="A36" s="131" t="s">
        <v>361</v>
      </c>
      <c r="B36" s="131">
        <v>4050</v>
      </c>
      <c r="C36" s="131">
        <v>7.2999999999999995E-2</v>
      </c>
      <c r="D36" s="130">
        <v>0</v>
      </c>
      <c r="E36" s="130">
        <v>3</v>
      </c>
      <c r="F36" s="130">
        <v>32</v>
      </c>
      <c r="G36" s="130">
        <v>32</v>
      </c>
      <c r="H36" s="130">
        <v>0</v>
      </c>
    </row>
    <row r="37" spans="1:8" x14ac:dyDescent="0.25">
      <c r="A37" s="131" t="s">
        <v>324</v>
      </c>
      <c r="B37" s="131">
        <v>4050</v>
      </c>
      <c r="C37" s="131">
        <v>7.1999999999999995E-2</v>
      </c>
      <c r="D37" s="130">
        <v>0</v>
      </c>
      <c r="E37" s="130">
        <v>3</v>
      </c>
      <c r="F37" s="130">
        <v>23</v>
      </c>
      <c r="G37" s="130">
        <v>25</v>
      </c>
      <c r="H37" s="130">
        <v>0</v>
      </c>
    </row>
    <row r="38" spans="1:8" x14ac:dyDescent="0.25">
      <c r="A38" s="131" t="s">
        <v>366</v>
      </c>
      <c r="B38" s="131">
        <v>4060</v>
      </c>
      <c r="C38" s="131">
        <v>7.0999999999999994E-2</v>
      </c>
      <c r="D38" s="130">
        <v>0</v>
      </c>
      <c r="E38" s="130">
        <v>3</v>
      </c>
      <c r="F38" s="130">
        <v>8</v>
      </c>
      <c r="G38" s="130">
        <v>8</v>
      </c>
      <c r="H38" s="130">
        <v>0</v>
      </c>
    </row>
    <row r="39" spans="1:8" x14ac:dyDescent="0.25">
      <c r="A39" s="131" t="s">
        <v>203</v>
      </c>
      <c r="B39" s="131">
        <v>4025</v>
      </c>
      <c r="C39" s="131">
        <v>7.0000000000000007E-2</v>
      </c>
      <c r="D39" s="130">
        <v>0</v>
      </c>
      <c r="E39" s="130">
        <v>3</v>
      </c>
      <c r="F39" s="130">
        <v>56</v>
      </c>
      <c r="G39" s="130">
        <v>58</v>
      </c>
      <c r="H39" s="130">
        <v>0</v>
      </c>
    </row>
    <row r="40" spans="1:8" x14ac:dyDescent="0.25">
      <c r="A40" s="131" t="s">
        <v>324</v>
      </c>
      <c r="B40" s="131">
        <v>4010</v>
      </c>
      <c r="C40" s="131">
        <v>6.8000000000000005E-2</v>
      </c>
      <c r="D40" s="130">
        <v>0</v>
      </c>
      <c r="E40" s="130">
        <v>4</v>
      </c>
      <c r="F40" s="130">
        <v>70</v>
      </c>
      <c r="G40" s="130">
        <v>50</v>
      </c>
      <c r="H40" s="130">
        <v>20</v>
      </c>
    </row>
    <row r="41" spans="1:8" x14ac:dyDescent="0.25">
      <c r="A41" s="131" t="s">
        <v>187</v>
      </c>
      <c r="B41" s="131">
        <v>4022</v>
      </c>
      <c r="C41" s="131">
        <v>6.2E-2</v>
      </c>
      <c r="D41" s="130">
        <v>1</v>
      </c>
      <c r="E41" s="130">
        <v>0</v>
      </c>
      <c r="F41" s="130">
        <v>1</v>
      </c>
      <c r="G41" s="130">
        <v>1</v>
      </c>
      <c r="H41" s="130">
        <v>0</v>
      </c>
    </row>
    <row r="42" spans="1:8" x14ac:dyDescent="0.25">
      <c r="A42" s="131" t="s">
        <v>381</v>
      </c>
      <c r="B42" s="131">
        <v>4030</v>
      </c>
      <c r="C42" s="131">
        <v>6.0999999999999999E-2</v>
      </c>
      <c r="D42" s="130">
        <v>0</v>
      </c>
      <c r="E42" s="130">
        <v>0</v>
      </c>
      <c r="F42" s="130">
        <v>26</v>
      </c>
      <c r="G42" s="130">
        <v>26</v>
      </c>
      <c r="H42" s="130">
        <v>0</v>
      </c>
    </row>
    <row r="43" spans="1:8" x14ac:dyDescent="0.25">
      <c r="A43" s="131" t="s">
        <v>366</v>
      </c>
      <c r="B43" s="131">
        <v>4050</v>
      </c>
      <c r="C43" s="131">
        <v>5.8000000000000003E-2</v>
      </c>
      <c r="D43" s="130">
        <v>0</v>
      </c>
      <c r="E43" s="130">
        <v>2</v>
      </c>
      <c r="F43" s="130">
        <v>0</v>
      </c>
      <c r="G43" s="130">
        <v>0</v>
      </c>
      <c r="H43" s="130">
        <v>0</v>
      </c>
    </row>
    <row r="44" spans="1:8" x14ac:dyDescent="0.25">
      <c r="A44" s="131" t="s">
        <v>376</v>
      </c>
      <c r="B44" s="131">
        <v>5010</v>
      </c>
      <c r="C44" s="131">
        <v>5.2999999999999999E-2</v>
      </c>
      <c r="D44" s="130">
        <v>0</v>
      </c>
      <c r="E44" s="130">
        <v>1</v>
      </c>
      <c r="F44" s="130">
        <v>294</v>
      </c>
      <c r="G44" s="130">
        <v>104</v>
      </c>
      <c r="H44" s="130">
        <v>190</v>
      </c>
    </row>
    <row r="45" spans="1:8" x14ac:dyDescent="0.25">
      <c r="A45" s="131" t="s">
        <v>199</v>
      </c>
      <c r="B45" s="131">
        <v>4015</v>
      </c>
      <c r="C45" s="131">
        <v>4.9000000000000002E-2</v>
      </c>
      <c r="D45" s="130">
        <v>0</v>
      </c>
      <c r="E45" s="130">
        <v>1</v>
      </c>
      <c r="F45" s="130"/>
      <c r="G45" s="130"/>
      <c r="H45" s="130"/>
    </row>
    <row r="46" spans="1:8" x14ac:dyDescent="0.25">
      <c r="A46" s="131" t="s">
        <v>366</v>
      </c>
      <c r="B46" s="131">
        <v>4020</v>
      </c>
      <c r="C46" s="131">
        <v>4.8000000000000001E-2</v>
      </c>
      <c r="D46" s="130">
        <v>0</v>
      </c>
      <c r="E46" s="130">
        <v>2</v>
      </c>
      <c r="F46" s="130"/>
      <c r="G46" s="130"/>
      <c r="H46" s="130"/>
    </row>
    <row r="47" spans="1:8" x14ac:dyDescent="0.25">
      <c r="A47" s="131" t="s">
        <v>450</v>
      </c>
      <c r="B47" s="131">
        <v>4012</v>
      </c>
      <c r="C47" s="131">
        <v>4.4999999999999998E-2</v>
      </c>
      <c r="D47" s="130">
        <v>0</v>
      </c>
      <c r="E47" s="130">
        <v>2</v>
      </c>
      <c r="F47" s="130">
        <v>81</v>
      </c>
      <c r="G47" s="130">
        <v>81</v>
      </c>
      <c r="H47" s="130">
        <v>0</v>
      </c>
    </row>
    <row r="48" spans="1:8" x14ac:dyDescent="0.25">
      <c r="A48" s="131" t="s">
        <v>324</v>
      </c>
      <c r="B48" s="131">
        <v>4040</v>
      </c>
      <c r="C48" s="131">
        <v>4.2000000000000003E-2</v>
      </c>
      <c r="D48" s="130">
        <v>0</v>
      </c>
      <c r="E48" s="130">
        <v>1</v>
      </c>
      <c r="F48" s="130">
        <v>25</v>
      </c>
      <c r="G48" s="130">
        <v>39</v>
      </c>
      <c r="H48" s="130">
        <v>0</v>
      </c>
    </row>
    <row r="49" spans="1:8" x14ac:dyDescent="0.25">
      <c r="A49" s="131" t="s">
        <v>361</v>
      </c>
      <c r="B49" s="131">
        <v>4040</v>
      </c>
      <c r="C49" s="131">
        <v>3.5999999999999997E-2</v>
      </c>
      <c r="D49" s="130">
        <v>0</v>
      </c>
      <c r="E49" s="130">
        <v>2</v>
      </c>
      <c r="F49" s="130">
        <v>6</v>
      </c>
      <c r="G49" s="130">
        <v>6</v>
      </c>
      <c r="H49" s="130">
        <v>0</v>
      </c>
    </row>
    <row r="50" spans="1:8" x14ac:dyDescent="0.25">
      <c r="A50" s="131" t="s">
        <v>336</v>
      </c>
      <c r="B50" s="131">
        <v>4015</v>
      </c>
      <c r="C50" s="131">
        <v>3.5999999999999997E-2</v>
      </c>
      <c r="D50" s="130">
        <v>0</v>
      </c>
      <c r="E50" s="130">
        <v>2</v>
      </c>
      <c r="F50" s="130"/>
      <c r="G50" s="130"/>
      <c r="H50" s="130"/>
    </row>
    <row r="51" spans="1:8" x14ac:dyDescent="0.25">
      <c r="A51" s="131" t="s">
        <v>393</v>
      </c>
      <c r="B51" s="131">
        <v>4050</v>
      </c>
      <c r="C51" s="131">
        <v>3.3000000000000002E-2</v>
      </c>
      <c r="D51" s="130">
        <v>0</v>
      </c>
      <c r="E51" s="130">
        <v>1</v>
      </c>
      <c r="F51" s="130">
        <v>29</v>
      </c>
      <c r="G51" s="130">
        <v>33</v>
      </c>
      <c r="H51" s="130">
        <v>0</v>
      </c>
    </row>
    <row r="52" spans="1:8" x14ac:dyDescent="0.25">
      <c r="A52" s="131" t="s">
        <v>330</v>
      </c>
      <c r="B52" s="131">
        <v>4040</v>
      </c>
      <c r="C52" s="131">
        <v>3.2000000000000001E-2</v>
      </c>
      <c r="D52" s="130">
        <v>0</v>
      </c>
      <c r="E52" s="130">
        <v>1</v>
      </c>
      <c r="F52" s="130">
        <v>204</v>
      </c>
      <c r="G52" s="130">
        <v>204</v>
      </c>
      <c r="H52" s="130">
        <v>0</v>
      </c>
    </row>
    <row r="53" spans="1:8" x14ac:dyDescent="0.25">
      <c r="A53" s="131" t="s">
        <v>208</v>
      </c>
      <c r="B53" s="131">
        <v>4030</v>
      </c>
      <c r="C53" s="131">
        <v>3.2000000000000001E-2</v>
      </c>
      <c r="D53" s="130">
        <v>0</v>
      </c>
      <c r="E53" s="130">
        <v>1</v>
      </c>
      <c r="F53" s="130">
        <v>55</v>
      </c>
      <c r="G53" s="130">
        <v>33</v>
      </c>
      <c r="H53" s="130">
        <v>22</v>
      </c>
    </row>
    <row r="54" spans="1:8" x14ac:dyDescent="0.25">
      <c r="A54" s="131" t="s">
        <v>393</v>
      </c>
      <c r="B54" s="131">
        <v>4020</v>
      </c>
      <c r="C54" s="131">
        <v>0.03</v>
      </c>
      <c r="D54" s="130">
        <v>0</v>
      </c>
      <c r="E54" s="130">
        <v>2</v>
      </c>
      <c r="F54" s="130">
        <v>45</v>
      </c>
      <c r="G54" s="130">
        <v>45</v>
      </c>
      <c r="H54" s="130">
        <v>0</v>
      </c>
    </row>
    <row r="55" spans="1:8" x14ac:dyDescent="0.25">
      <c r="A55" s="131" t="s">
        <v>489</v>
      </c>
      <c r="B55" s="131">
        <v>4020</v>
      </c>
      <c r="C55" s="131">
        <v>2.7E-2</v>
      </c>
      <c r="D55" s="130">
        <v>0</v>
      </c>
      <c r="E55" s="130">
        <v>1</v>
      </c>
      <c r="F55" s="130">
        <v>96</v>
      </c>
      <c r="G55" s="130">
        <v>92</v>
      </c>
      <c r="H55" s="130">
        <v>4</v>
      </c>
    </row>
    <row r="56" spans="1:8" x14ac:dyDescent="0.25">
      <c r="A56" s="131" t="s">
        <v>208</v>
      </c>
      <c r="B56" s="131">
        <v>4020</v>
      </c>
      <c r="C56" s="131">
        <v>2.5999999999999999E-2</v>
      </c>
      <c r="D56" s="130">
        <v>0</v>
      </c>
      <c r="E56" s="130">
        <v>1</v>
      </c>
      <c r="F56" s="130">
        <v>119</v>
      </c>
      <c r="G56" s="130">
        <v>133</v>
      </c>
      <c r="H56" s="130">
        <v>0</v>
      </c>
    </row>
    <row r="57" spans="1:8" x14ac:dyDescent="0.25">
      <c r="A57" s="131" t="s">
        <v>214</v>
      </c>
      <c r="B57" s="131">
        <v>4030</v>
      </c>
      <c r="C57" s="131">
        <v>2.1999999999999999E-2</v>
      </c>
      <c r="D57" s="130">
        <v>0</v>
      </c>
      <c r="E57" s="130">
        <v>1</v>
      </c>
      <c r="F57" s="130">
        <v>211</v>
      </c>
      <c r="G57" s="130">
        <v>101</v>
      </c>
      <c r="H57" s="130">
        <v>110</v>
      </c>
    </row>
    <row r="58" spans="1:8" x14ac:dyDescent="0.25">
      <c r="A58" s="131" t="s">
        <v>343</v>
      </c>
      <c r="B58" s="131">
        <v>4070</v>
      </c>
      <c r="C58" s="131">
        <v>2.1000000000000001E-2</v>
      </c>
      <c r="D58" s="130">
        <v>0</v>
      </c>
      <c r="E58" s="130">
        <v>1</v>
      </c>
      <c r="F58" s="130">
        <v>168</v>
      </c>
      <c r="G58" s="130">
        <v>168</v>
      </c>
      <c r="H58" s="130">
        <v>0</v>
      </c>
    </row>
    <row r="59" spans="1:8" x14ac:dyDescent="0.25">
      <c r="A59" s="131" t="s">
        <v>343</v>
      </c>
      <c r="B59" s="131">
        <v>4080</v>
      </c>
      <c r="C59" s="131">
        <v>1.9E-2</v>
      </c>
      <c r="D59" s="130">
        <v>0</v>
      </c>
      <c r="E59" s="130">
        <v>2</v>
      </c>
      <c r="F59" s="130">
        <v>16</v>
      </c>
      <c r="G59" s="130">
        <v>16</v>
      </c>
      <c r="H59" s="130">
        <v>0</v>
      </c>
    </row>
    <row r="60" spans="1:8" x14ac:dyDescent="0.25">
      <c r="A60" s="131" t="s">
        <v>489</v>
      </c>
      <c r="B60" s="131">
        <v>4010</v>
      </c>
      <c r="C60" s="131">
        <v>1.7999999999999999E-2</v>
      </c>
      <c r="D60" s="130">
        <v>0</v>
      </c>
      <c r="E60" s="130">
        <v>1</v>
      </c>
      <c r="F60" s="130">
        <v>15</v>
      </c>
      <c r="G60" s="130">
        <v>15</v>
      </c>
      <c r="H60" s="130">
        <v>0</v>
      </c>
    </row>
    <row r="61" spans="1:8" x14ac:dyDescent="0.25">
      <c r="A61" s="131" t="s">
        <v>343</v>
      </c>
      <c r="B61" s="131">
        <v>4040</v>
      </c>
      <c r="C61" s="131">
        <v>1.7999999999999999E-2</v>
      </c>
      <c r="D61" s="130">
        <v>0</v>
      </c>
      <c r="E61" s="130">
        <v>1</v>
      </c>
      <c r="F61" s="130">
        <v>24</v>
      </c>
      <c r="G61" s="130">
        <v>24</v>
      </c>
      <c r="H61" s="130">
        <v>0</v>
      </c>
    </row>
    <row r="62" spans="1:8" x14ac:dyDescent="0.25">
      <c r="A62" s="131" t="s">
        <v>214</v>
      </c>
      <c r="B62" s="131">
        <v>4020</v>
      </c>
      <c r="C62" s="131">
        <v>1.7000000000000001E-2</v>
      </c>
      <c r="D62" s="130">
        <v>0</v>
      </c>
      <c r="E62" s="130">
        <v>1</v>
      </c>
      <c r="F62" s="130">
        <v>0</v>
      </c>
      <c r="G62" s="130">
        <v>0</v>
      </c>
      <c r="H62" s="130">
        <v>0</v>
      </c>
    </row>
    <row r="63" spans="1:8" x14ac:dyDescent="0.25">
      <c r="A63" s="131" t="s">
        <v>381</v>
      </c>
      <c r="B63" s="131">
        <v>4020</v>
      </c>
      <c r="C63" s="131">
        <v>1.7000000000000001E-2</v>
      </c>
      <c r="D63" s="130">
        <v>0</v>
      </c>
      <c r="E63" s="130">
        <v>1</v>
      </c>
      <c r="F63" s="130">
        <v>38</v>
      </c>
      <c r="G63" s="130">
        <v>38</v>
      </c>
      <c r="H63" s="130">
        <v>0</v>
      </c>
    </row>
    <row r="64" spans="1:8" x14ac:dyDescent="0.25">
      <c r="A64" s="131" t="s">
        <v>330</v>
      </c>
      <c r="B64" s="131">
        <v>4052</v>
      </c>
      <c r="C64" s="131">
        <v>1.4E-2</v>
      </c>
      <c r="D64" s="130">
        <v>0</v>
      </c>
      <c r="E64" s="130">
        <v>1</v>
      </c>
      <c r="F64" s="130">
        <v>0</v>
      </c>
      <c r="G64" s="130">
        <v>0</v>
      </c>
      <c r="H64" s="130">
        <v>0</v>
      </c>
    </row>
    <row r="65" spans="1:8" x14ac:dyDescent="0.25">
      <c r="A65" s="131" t="s">
        <v>551</v>
      </c>
      <c r="B65" s="131">
        <v>4035</v>
      </c>
      <c r="C65" s="131">
        <v>1.2999999999999999E-2</v>
      </c>
      <c r="D65" s="130">
        <v>0</v>
      </c>
      <c r="E65" s="130">
        <v>2</v>
      </c>
      <c r="F65" s="130">
        <v>135</v>
      </c>
      <c r="G65" s="130">
        <v>144</v>
      </c>
      <c r="H65" s="130">
        <v>0</v>
      </c>
    </row>
    <row r="66" spans="1:8" x14ac:dyDescent="0.25">
      <c r="A66" s="131" t="s">
        <v>343</v>
      </c>
      <c r="B66" s="131">
        <v>4060</v>
      </c>
      <c r="C66" s="131">
        <v>0.01</v>
      </c>
      <c r="D66" s="130">
        <v>0</v>
      </c>
      <c r="E66" s="130">
        <v>1</v>
      </c>
      <c r="F66" s="130">
        <v>223</v>
      </c>
      <c r="G66" s="130">
        <v>238</v>
      </c>
      <c r="H66" s="130">
        <v>0</v>
      </c>
    </row>
    <row r="67" spans="1:8" x14ac:dyDescent="0.25">
      <c r="A67" s="131" t="s">
        <v>551</v>
      </c>
      <c r="B67" s="131">
        <v>4025</v>
      </c>
      <c r="C67" s="131">
        <v>6.0000000000000001E-3</v>
      </c>
      <c r="D67" s="130">
        <v>1</v>
      </c>
      <c r="E67" s="130">
        <v>0</v>
      </c>
      <c r="F67" s="130">
        <v>45</v>
      </c>
      <c r="G67" s="130">
        <v>45</v>
      </c>
      <c r="H67" s="130">
        <v>0</v>
      </c>
    </row>
    <row r="68" spans="1:8" x14ac:dyDescent="0.25">
      <c r="A68" s="131" t="s">
        <v>361</v>
      </c>
      <c r="B68" s="131">
        <v>4080</v>
      </c>
      <c r="C68" s="131">
        <v>4.0000000000000001E-3</v>
      </c>
      <c r="D68" s="130">
        <v>0</v>
      </c>
      <c r="E68" s="130">
        <v>1</v>
      </c>
      <c r="F68" s="130">
        <v>64</v>
      </c>
      <c r="G68" s="130">
        <v>64</v>
      </c>
      <c r="H68" s="130">
        <v>0</v>
      </c>
    </row>
    <row r="69" spans="1:8" x14ac:dyDescent="0.25">
      <c r="A69" s="131" t="s">
        <v>187</v>
      </c>
      <c r="B69" s="131">
        <v>4032</v>
      </c>
      <c r="C69" s="131">
        <v>3.0000000000000001E-3</v>
      </c>
      <c r="D69" s="130">
        <v>0</v>
      </c>
      <c r="E69" s="130">
        <v>1</v>
      </c>
      <c r="F69" s="130">
        <v>355</v>
      </c>
      <c r="G69" s="130">
        <v>355</v>
      </c>
      <c r="H69" s="130">
        <v>0</v>
      </c>
    </row>
    <row r="70" spans="1:8" x14ac:dyDescent="0.25">
      <c r="A70" s="131" t="s">
        <v>489</v>
      </c>
      <c r="B70" s="131">
        <v>4030</v>
      </c>
      <c r="C70" s="131">
        <v>2E-3</v>
      </c>
      <c r="D70" s="130">
        <v>0</v>
      </c>
      <c r="E70" s="130">
        <v>1</v>
      </c>
      <c r="F70" s="130"/>
      <c r="G70" s="130"/>
      <c r="H70" s="130"/>
    </row>
    <row r="71" spans="1:8" x14ac:dyDescent="0.25">
      <c r="A71" s="131" t="s">
        <v>376</v>
      </c>
      <c r="B71" s="131">
        <v>4030</v>
      </c>
      <c r="C71" s="131">
        <v>0</v>
      </c>
      <c r="D71" s="130">
        <v>0</v>
      </c>
      <c r="E71" s="130">
        <v>1</v>
      </c>
      <c r="F71" s="130">
        <v>39</v>
      </c>
      <c r="G71" s="130">
        <v>15</v>
      </c>
      <c r="H71" s="130">
        <v>24</v>
      </c>
    </row>
    <row r="72" spans="1:8" x14ac:dyDescent="0.25">
      <c r="A72" s="180"/>
      <c r="B72" s="180"/>
      <c r="C72" s="181"/>
      <c r="D72" s="130">
        <v>5</v>
      </c>
      <c r="E72" s="130">
        <v>221</v>
      </c>
      <c r="F72" s="130">
        <v>5714</v>
      </c>
      <c r="G72" s="130">
        <v>4548</v>
      </c>
      <c r="H72" s="130">
        <v>1251</v>
      </c>
    </row>
  </sheetData>
  <mergeCells count="2">
    <mergeCell ref="A72:C72"/>
    <mergeCell ref="A2:H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2:C24"/>
  <sheetViews>
    <sheetView zoomScaleNormal="100" workbookViewId="0">
      <selection activeCell="A13" sqref="A13"/>
    </sheetView>
  </sheetViews>
  <sheetFormatPr baseColWidth="10" defaultRowHeight="15" x14ac:dyDescent="0.25"/>
  <cols>
    <col min="1" max="1" width="53.7109375" bestFit="1" customWidth="1"/>
    <col min="2" max="2" width="4" customWidth="1"/>
    <col min="3" max="3" width="12" customWidth="1"/>
  </cols>
  <sheetData>
    <row r="2" spans="1:3" x14ac:dyDescent="0.25">
      <c r="A2" s="182" t="s">
        <v>1044</v>
      </c>
      <c r="B2" s="182"/>
      <c r="C2" s="182"/>
    </row>
    <row r="3" spans="1:3" x14ac:dyDescent="0.25">
      <c r="A3" s="56" t="s">
        <v>71</v>
      </c>
      <c r="B3" s="93" t="s">
        <v>29</v>
      </c>
      <c r="C3" s="93" t="s">
        <v>34</v>
      </c>
    </row>
    <row r="4" spans="1:3" x14ac:dyDescent="0.25">
      <c r="A4" s="82" t="s">
        <v>35</v>
      </c>
      <c r="B4" s="83">
        <v>56</v>
      </c>
      <c r="C4" s="84">
        <v>4.4979484931260449</v>
      </c>
    </row>
    <row r="5" spans="1:3" x14ac:dyDescent="0.25">
      <c r="A5" s="82" t="s">
        <v>36</v>
      </c>
      <c r="B5" s="83">
        <v>115</v>
      </c>
      <c r="C5" s="84">
        <v>3.5782364160268587</v>
      </c>
    </row>
    <row r="6" spans="1:3" x14ac:dyDescent="0.25">
      <c r="A6" s="82" t="s">
        <v>109</v>
      </c>
      <c r="B6" s="83">
        <v>12</v>
      </c>
      <c r="C6" s="84">
        <v>0.38772543156585243</v>
      </c>
    </row>
    <row r="7" spans="1:3" x14ac:dyDescent="0.25">
      <c r="A7" s="82" t="s">
        <v>105</v>
      </c>
      <c r="B7" s="83">
        <v>7</v>
      </c>
      <c r="C7" s="84">
        <v>0.33356377657122943</v>
      </c>
    </row>
    <row r="8" spans="1:3" x14ac:dyDescent="0.25">
      <c r="A8" s="3" t="s">
        <v>179</v>
      </c>
      <c r="B8" s="7">
        <v>2</v>
      </c>
      <c r="C8" s="4">
        <v>0.3005504408397876</v>
      </c>
    </row>
    <row r="9" spans="1:3" x14ac:dyDescent="0.25">
      <c r="A9" s="82" t="s">
        <v>106</v>
      </c>
      <c r="B9" s="83">
        <v>7</v>
      </c>
      <c r="C9" s="84">
        <v>0.19973995511040668</v>
      </c>
    </row>
    <row r="10" spans="1:3" x14ac:dyDescent="0.25">
      <c r="A10" s="3" t="s">
        <v>1042</v>
      </c>
      <c r="B10" s="7">
        <v>1</v>
      </c>
      <c r="C10" s="4">
        <v>0.18003799503141896</v>
      </c>
    </row>
    <row r="11" spans="1:3" x14ac:dyDescent="0.25">
      <c r="A11" s="82" t="s">
        <v>320</v>
      </c>
      <c r="B11" s="83">
        <v>1</v>
      </c>
      <c r="C11" s="84">
        <v>0.16430040805314808</v>
      </c>
    </row>
    <row r="12" spans="1:3" x14ac:dyDescent="0.25">
      <c r="A12" s="3" t="s">
        <v>111</v>
      </c>
      <c r="B12" s="7">
        <v>5</v>
      </c>
      <c r="C12" s="4">
        <v>0.15926438022010139</v>
      </c>
    </row>
    <row r="13" spans="1:3" x14ac:dyDescent="0.25">
      <c r="A13" s="3" t="s">
        <v>1005</v>
      </c>
      <c r="B13" s="7">
        <v>1</v>
      </c>
      <c r="C13" s="4">
        <v>0.15156045668978593</v>
      </c>
    </row>
    <row r="14" spans="1:3" x14ac:dyDescent="0.25">
      <c r="A14" s="3" t="s">
        <v>112</v>
      </c>
      <c r="B14" s="7">
        <v>2</v>
      </c>
      <c r="C14" s="4">
        <v>0.1475511190548455</v>
      </c>
    </row>
    <row r="15" spans="1:3" x14ac:dyDescent="0.25">
      <c r="A15" s="3" t="s">
        <v>110</v>
      </c>
      <c r="B15" s="7">
        <v>5</v>
      </c>
      <c r="C15" s="4">
        <v>0.13820411650310818</v>
      </c>
    </row>
    <row r="16" spans="1:3" x14ac:dyDescent="0.25">
      <c r="A16" s="3" t="s">
        <v>321</v>
      </c>
      <c r="B16" s="7">
        <v>4</v>
      </c>
      <c r="C16" s="4">
        <v>0.10279267227973936</v>
      </c>
    </row>
    <row r="17" spans="1:3" x14ac:dyDescent="0.25">
      <c r="A17" s="3" t="s">
        <v>1006</v>
      </c>
      <c r="B17" s="7">
        <v>1</v>
      </c>
      <c r="C17" s="4">
        <v>6.8732037605338789E-2</v>
      </c>
    </row>
    <row r="18" spans="1:3" x14ac:dyDescent="0.25">
      <c r="A18" s="3" t="s">
        <v>1043</v>
      </c>
      <c r="B18" s="7">
        <v>1</v>
      </c>
      <c r="C18" s="4">
        <v>5.6917606238079711E-2</v>
      </c>
    </row>
    <row r="19" spans="1:3" x14ac:dyDescent="0.25">
      <c r="A19" s="3" t="s">
        <v>1007</v>
      </c>
      <c r="B19" s="7">
        <v>3</v>
      </c>
      <c r="C19" s="4">
        <v>4.1133181203325875E-2</v>
      </c>
    </row>
    <row r="20" spans="1:3" x14ac:dyDescent="0.25">
      <c r="A20" s="3" t="s">
        <v>633</v>
      </c>
      <c r="B20" s="7">
        <v>1</v>
      </c>
      <c r="C20" s="4">
        <v>3.9259658944007916E-2</v>
      </c>
    </row>
    <row r="21" spans="1:3" x14ac:dyDescent="0.25">
      <c r="A21" s="3" t="s">
        <v>1008</v>
      </c>
      <c r="B21" s="7">
        <v>1</v>
      </c>
      <c r="C21" s="4">
        <v>3.6499960656032553E-2</v>
      </c>
    </row>
    <row r="22" spans="1:3" x14ac:dyDescent="0.25">
      <c r="A22" s="3" t="s">
        <v>1026</v>
      </c>
      <c r="B22" s="7">
        <v>1</v>
      </c>
      <c r="C22" s="4">
        <v>6.2013586783424572E-4</v>
      </c>
    </row>
    <row r="23" spans="1:3" x14ac:dyDescent="0.25">
      <c r="A23" s="3" t="s">
        <v>418</v>
      </c>
      <c r="B23" s="7"/>
      <c r="C23" s="4">
        <v>0</v>
      </c>
    </row>
    <row r="24" spans="1:3" x14ac:dyDescent="0.25">
      <c r="A24" s="3" t="s">
        <v>28</v>
      </c>
      <c r="B24" s="7">
        <v>226</v>
      </c>
      <c r="C24" s="4">
        <v>10.584638241586948</v>
      </c>
    </row>
  </sheetData>
  <mergeCells count="1">
    <mergeCell ref="A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2:N312"/>
  <sheetViews>
    <sheetView topLeftCell="A244" workbookViewId="0">
      <selection activeCell="C12" sqref="C12"/>
    </sheetView>
  </sheetViews>
  <sheetFormatPr baseColWidth="10" defaultRowHeight="15" x14ac:dyDescent="0.25"/>
  <cols>
    <col min="1" max="1" width="16.28515625" customWidth="1"/>
    <col min="2" max="2" width="12.42578125" customWidth="1"/>
    <col min="3" max="3" width="17.7109375" customWidth="1"/>
    <col min="4" max="4" width="53.7109375" customWidth="1"/>
    <col min="5" max="5" width="4" customWidth="1"/>
    <col min="6" max="6" width="12" customWidth="1"/>
    <col min="7" max="7" width="8.85546875" bestFit="1" customWidth="1"/>
    <col min="8" max="8" width="15.85546875" customWidth="1"/>
    <col min="9" max="9" width="12.85546875" bestFit="1" customWidth="1"/>
    <col min="10" max="10" width="12" style="142" bestFit="1" customWidth="1"/>
    <col min="11" max="11" width="12.5703125" style="107" bestFit="1" customWidth="1"/>
    <col min="12" max="12" width="9.42578125" style="107" bestFit="1" customWidth="1"/>
    <col min="13" max="13" width="16.7109375" style="107" bestFit="1" customWidth="1"/>
    <col min="14" max="14" width="0" hidden="1" customWidth="1"/>
  </cols>
  <sheetData>
    <row r="2" spans="1:14" x14ac:dyDescent="0.25">
      <c r="A2" s="182" t="s">
        <v>1045</v>
      </c>
      <c r="B2" s="182"/>
      <c r="C2" s="182"/>
      <c r="D2" s="182"/>
      <c r="E2" s="182"/>
      <c r="F2" s="182"/>
      <c r="G2" s="182"/>
      <c r="H2" s="182"/>
      <c r="I2" s="182"/>
      <c r="J2" s="182"/>
      <c r="K2" s="182"/>
      <c r="L2" s="182"/>
      <c r="M2" s="182"/>
    </row>
    <row r="3" spans="1:14" x14ac:dyDescent="0.25">
      <c r="A3" s="57" t="s">
        <v>78</v>
      </c>
      <c r="B3" s="57" t="s">
        <v>4</v>
      </c>
      <c r="C3" s="57" t="s">
        <v>5</v>
      </c>
      <c r="D3" s="57" t="s">
        <v>6</v>
      </c>
      <c r="E3" s="93" t="s">
        <v>29</v>
      </c>
      <c r="F3" s="93" t="s">
        <v>34</v>
      </c>
      <c r="G3" s="108" t="s">
        <v>1039</v>
      </c>
      <c r="H3" s="108" t="s">
        <v>1040</v>
      </c>
      <c r="I3" s="109" t="s">
        <v>1041</v>
      </c>
      <c r="J3" s="133" t="s">
        <v>88</v>
      </c>
      <c r="K3" s="105" t="s">
        <v>32</v>
      </c>
      <c r="L3" s="105" t="s">
        <v>30</v>
      </c>
      <c r="M3" s="105" t="s">
        <v>31</v>
      </c>
      <c r="N3">
        <v>533754</v>
      </c>
    </row>
    <row r="4" spans="1:14" x14ac:dyDescent="0.25">
      <c r="A4" s="23" t="s">
        <v>187</v>
      </c>
      <c r="B4" s="51">
        <v>4032</v>
      </c>
      <c r="C4" s="79" t="s">
        <v>295</v>
      </c>
      <c r="D4" s="79" t="s">
        <v>36</v>
      </c>
      <c r="E4" s="4">
        <v>1</v>
      </c>
      <c r="F4" s="4">
        <v>3.0163708375019202E-3</v>
      </c>
      <c r="G4" s="4">
        <v>1610</v>
      </c>
      <c r="H4" s="4">
        <v>1610</v>
      </c>
      <c r="I4" s="4">
        <v>1</v>
      </c>
      <c r="J4" s="134"/>
      <c r="K4" s="18"/>
      <c r="L4" s="18"/>
      <c r="M4" s="18"/>
      <c r="N4">
        <v>533754</v>
      </c>
    </row>
    <row r="5" spans="1:14" x14ac:dyDescent="0.25">
      <c r="A5" s="24"/>
      <c r="B5" s="80" t="s">
        <v>74</v>
      </c>
      <c r="C5" s="80"/>
      <c r="D5" s="80"/>
      <c r="E5" s="114">
        <v>1</v>
      </c>
      <c r="F5" s="115">
        <v>3.0163708375019202E-3</v>
      </c>
      <c r="G5" s="115">
        <v>1610</v>
      </c>
      <c r="H5" s="115">
        <v>1610</v>
      </c>
      <c r="I5" s="116">
        <v>1</v>
      </c>
      <c r="J5" s="135">
        <f>GETPIVOTDATA("Usuarios afec",$A$3,"SE","LMX","Circuito",4032)/N3</f>
        <v>1.8735222593179629E-6</v>
      </c>
      <c r="K5" s="103">
        <f>GETPIVOTDATA("Suma de DEMUA",$A$3,"SE","LMX","Circuito",4032)/GETPIVOTDATA("NI",$A$3,"SE","LMX","Circuito",4032)</f>
        <v>1610</v>
      </c>
      <c r="L5" s="103">
        <f>GETPIVOTDATA("Duracion",$A$3,"SE","LMX","Circuito",4032)/GETPIVOTDATA("NI",$A$3,"SE","LMX","Circuito",4032)</f>
        <v>1610</v>
      </c>
      <c r="M5" s="103">
        <f>GETPIVOTDATA("Usuarios afec",$A$3,"SE","LMX","Circuito",4032)/GETPIVOTDATA("NI",$A$3,"SE","LMX","Circuito",4032)</f>
        <v>1</v>
      </c>
      <c r="N5">
        <v>533754</v>
      </c>
    </row>
    <row r="6" spans="1:14" x14ac:dyDescent="0.25">
      <c r="A6" s="24"/>
      <c r="B6" s="51">
        <v>4012</v>
      </c>
      <c r="C6" s="25" t="s">
        <v>20</v>
      </c>
      <c r="D6" s="25" t="s">
        <v>35</v>
      </c>
      <c r="E6" s="4"/>
      <c r="F6" s="4">
        <v>0.1965737024921593</v>
      </c>
      <c r="G6" s="4">
        <v>18</v>
      </c>
      <c r="H6" s="4">
        <v>104922</v>
      </c>
      <c r="I6" s="4">
        <v>5829</v>
      </c>
      <c r="J6" s="134"/>
      <c r="K6" s="18"/>
      <c r="L6" s="18"/>
      <c r="M6" s="18"/>
      <c r="N6">
        <v>533754</v>
      </c>
    </row>
    <row r="7" spans="1:14" x14ac:dyDescent="0.25">
      <c r="A7" s="24"/>
      <c r="B7" s="51"/>
      <c r="C7" s="25" t="s">
        <v>190</v>
      </c>
      <c r="D7" s="25" t="s">
        <v>35</v>
      </c>
      <c r="E7" s="4">
        <v>1</v>
      </c>
      <c r="F7" s="4">
        <v>2.2810508211648064</v>
      </c>
      <c r="G7" s="4">
        <v>1602</v>
      </c>
      <c r="H7" s="4">
        <v>1217520</v>
      </c>
      <c r="I7" s="4">
        <v>1520</v>
      </c>
      <c r="J7" s="134"/>
      <c r="K7" s="18"/>
      <c r="L7" s="18"/>
      <c r="M7" s="18"/>
      <c r="N7">
        <v>533754</v>
      </c>
    </row>
    <row r="8" spans="1:14" x14ac:dyDescent="0.25">
      <c r="A8" s="24"/>
      <c r="B8" s="51"/>
      <c r="C8" s="25" t="s">
        <v>195</v>
      </c>
      <c r="D8" s="25" t="s">
        <v>320</v>
      </c>
      <c r="E8" s="4">
        <v>1</v>
      </c>
      <c r="F8" s="4">
        <v>0.16430040805314808</v>
      </c>
      <c r="G8" s="4">
        <v>189</v>
      </c>
      <c r="H8" s="4">
        <v>87696</v>
      </c>
      <c r="I8" s="4">
        <v>464</v>
      </c>
      <c r="J8" s="134"/>
      <c r="K8" s="18"/>
      <c r="L8" s="18"/>
      <c r="M8" s="18"/>
      <c r="N8">
        <v>533754</v>
      </c>
    </row>
    <row r="9" spans="1:14" x14ac:dyDescent="0.25">
      <c r="A9" s="24"/>
      <c r="B9" s="51"/>
      <c r="C9" s="25" t="s">
        <v>232</v>
      </c>
      <c r="D9" s="25" t="s">
        <v>36</v>
      </c>
      <c r="E9" s="4">
        <v>1</v>
      </c>
      <c r="F9" s="4">
        <v>4.892141323531065E-2</v>
      </c>
      <c r="G9" s="4">
        <v>384</v>
      </c>
      <c r="H9" s="4">
        <v>26112</v>
      </c>
      <c r="I9" s="4">
        <v>68</v>
      </c>
      <c r="J9" s="134"/>
      <c r="K9" s="18"/>
      <c r="L9" s="18"/>
      <c r="M9" s="18"/>
      <c r="N9">
        <v>533754</v>
      </c>
    </row>
    <row r="10" spans="1:14" x14ac:dyDescent="0.25">
      <c r="A10" s="24"/>
      <c r="B10" s="51"/>
      <c r="C10" s="25" t="s">
        <v>256</v>
      </c>
      <c r="D10" s="25" t="s">
        <v>109</v>
      </c>
      <c r="E10" s="4">
        <v>1</v>
      </c>
      <c r="F10" s="4">
        <v>3.3723400667723331E-4</v>
      </c>
      <c r="G10" s="4">
        <v>6</v>
      </c>
      <c r="H10" s="4">
        <v>180</v>
      </c>
      <c r="I10" s="4">
        <v>30</v>
      </c>
      <c r="J10" s="134"/>
      <c r="K10" s="18"/>
      <c r="L10" s="18"/>
      <c r="M10" s="18"/>
      <c r="N10">
        <v>533754</v>
      </c>
    </row>
    <row r="11" spans="1:14" x14ac:dyDescent="0.25">
      <c r="A11" s="24"/>
      <c r="B11" s="51"/>
      <c r="C11" s="25" t="s">
        <v>264</v>
      </c>
      <c r="D11" s="25" t="s">
        <v>35</v>
      </c>
      <c r="E11" s="4">
        <v>1</v>
      </c>
      <c r="F11" s="4">
        <v>7.9045777642884174E-2</v>
      </c>
      <c r="G11" s="4">
        <v>1361</v>
      </c>
      <c r="H11" s="4">
        <v>42191</v>
      </c>
      <c r="I11" s="4">
        <v>31</v>
      </c>
      <c r="J11" s="134"/>
      <c r="K11" s="18"/>
      <c r="L11" s="18"/>
      <c r="M11" s="18"/>
      <c r="N11">
        <v>533754</v>
      </c>
    </row>
    <row r="12" spans="1:14" x14ac:dyDescent="0.25">
      <c r="A12" s="24"/>
      <c r="B12" s="51"/>
      <c r="C12" s="25" t="s">
        <v>303</v>
      </c>
      <c r="D12" s="25" t="s">
        <v>109</v>
      </c>
      <c r="E12" s="4">
        <v>1</v>
      </c>
      <c r="F12" s="4">
        <v>2.9101421253985918E-2</v>
      </c>
      <c r="G12" s="4">
        <v>317</v>
      </c>
      <c r="H12" s="4">
        <v>15533</v>
      </c>
      <c r="I12" s="4">
        <v>49</v>
      </c>
      <c r="J12" s="134"/>
      <c r="K12" s="18"/>
      <c r="L12" s="18"/>
      <c r="M12" s="18"/>
      <c r="N12">
        <v>533754</v>
      </c>
    </row>
    <row r="13" spans="1:14" x14ac:dyDescent="0.25">
      <c r="A13" s="24"/>
      <c r="B13" s="51"/>
      <c r="C13" s="25" t="s">
        <v>307</v>
      </c>
      <c r="D13" s="25" t="s">
        <v>36</v>
      </c>
      <c r="E13" s="4">
        <v>1</v>
      </c>
      <c r="F13" s="4">
        <v>1.679425353252622E-2</v>
      </c>
      <c r="G13" s="4">
        <v>249</v>
      </c>
      <c r="H13" s="4">
        <v>8964</v>
      </c>
      <c r="I13" s="4">
        <v>36</v>
      </c>
      <c r="J13" s="134"/>
      <c r="K13" s="18"/>
      <c r="L13" s="18"/>
      <c r="M13" s="18"/>
      <c r="N13">
        <v>533754</v>
      </c>
    </row>
    <row r="14" spans="1:14" x14ac:dyDescent="0.25">
      <c r="A14" s="24"/>
      <c r="B14" s="80" t="s">
        <v>309</v>
      </c>
      <c r="C14" s="80"/>
      <c r="D14" s="80"/>
      <c r="E14" s="92">
        <v>7</v>
      </c>
      <c r="F14" s="92">
        <v>2.8161250313814974</v>
      </c>
      <c r="G14" s="92">
        <v>4126</v>
      </c>
      <c r="H14" s="92">
        <v>1503118</v>
      </c>
      <c r="I14" s="92">
        <v>8027</v>
      </c>
      <c r="J14" s="135">
        <f>GETPIVOTDATA("Usuarios afec",$A$3,"SE","LMX","Circuito",4012)/N3</f>
        <v>1.5038763175545289E-2</v>
      </c>
      <c r="K14" s="103">
        <f>GETPIVOTDATA("Suma de DEMUA",$A$3,"SE","LMX","Circuito",4012)/GETPIVOTDATA("Usuarios afec",$A$3,"SE","LMX","Circuito",4012)</f>
        <v>187.25775507661643</v>
      </c>
      <c r="L14" s="103">
        <f>GETPIVOTDATA("Duracion",$A$3,"SE","LMX","Circuito",4012)/GETPIVOTDATA("NI",$A$3,"SE","LMX","Circuito",4012)</f>
        <v>589.42857142857144</v>
      </c>
      <c r="M14" s="103">
        <f>GETPIVOTDATA("Usuarios afec",$A$3,"SE","LMX","Circuito",4012)/GETPIVOTDATA("NI",$A$3,"SE","LMX","Circuito",4012)</f>
        <v>1146.7142857142858</v>
      </c>
      <c r="N14">
        <v>533754</v>
      </c>
    </row>
    <row r="15" spans="1:14" x14ac:dyDescent="0.25">
      <c r="A15" s="24"/>
      <c r="B15" s="51">
        <v>4022</v>
      </c>
      <c r="C15" s="51" t="s">
        <v>20</v>
      </c>
      <c r="D15" s="51" t="s">
        <v>35</v>
      </c>
      <c r="E15" s="112">
        <v>1</v>
      </c>
      <c r="F15" s="110">
        <v>6.1831855124270731E-2</v>
      </c>
      <c r="G15" s="110">
        <v>171</v>
      </c>
      <c r="H15" s="110">
        <v>33003</v>
      </c>
      <c r="I15" s="111">
        <v>193</v>
      </c>
      <c r="J15" s="136"/>
      <c r="K15" s="122"/>
      <c r="L15" s="122"/>
      <c r="M15" s="122"/>
      <c r="N15">
        <v>533754</v>
      </c>
    </row>
    <row r="16" spans="1:14" x14ac:dyDescent="0.25">
      <c r="A16" s="17"/>
      <c r="B16" s="80" t="s">
        <v>310</v>
      </c>
      <c r="C16" s="80"/>
      <c r="D16" s="80"/>
      <c r="E16" s="92">
        <v>1</v>
      </c>
      <c r="F16" s="92">
        <v>6.1831855124270731E-2</v>
      </c>
      <c r="G16" s="92">
        <v>171</v>
      </c>
      <c r="H16" s="92">
        <v>33003</v>
      </c>
      <c r="I16" s="92">
        <v>193</v>
      </c>
      <c r="J16" s="135">
        <f>GETPIVOTDATA("Usuarios afec",$A$3,"SE","LMX","Circuito",4022)/N3</f>
        <v>3.6158979604836687E-4</v>
      </c>
      <c r="K16" s="103">
        <f>GETPIVOTDATA("Suma de DEMUA",$A$3,"SE","LMX","Circuito",4022)/GETPIVOTDATA("Usuarios afec",$A$3,"SE","LMX","Circuito",4022)</f>
        <v>171</v>
      </c>
      <c r="L16" s="103">
        <f>GETPIVOTDATA("Duracion",$A$3,"SE","LMX","Circuito",4022)/GETPIVOTDATA("NI",$A$3,"SE","LMX","Circuito",4022)</f>
        <v>171</v>
      </c>
      <c r="M16" s="103">
        <f>GETPIVOTDATA("Usuarios afec",$A$3,"SE","LMX","Circuito",4022)/GETPIVOTDATA("NI",$A$3,"SE","LMX","Circuito",4022)</f>
        <v>193</v>
      </c>
      <c r="N16">
        <v>533754</v>
      </c>
    </row>
    <row r="17" spans="1:14" x14ac:dyDescent="0.25">
      <c r="A17" s="95" t="s">
        <v>311</v>
      </c>
      <c r="B17" s="96"/>
      <c r="C17" s="96"/>
      <c r="D17" s="97"/>
      <c r="E17" s="117">
        <v>9</v>
      </c>
      <c r="F17" s="118">
        <v>2.8809732573432703</v>
      </c>
      <c r="G17" s="118">
        <v>5907</v>
      </c>
      <c r="H17" s="118">
        <v>1537731</v>
      </c>
      <c r="I17" s="119">
        <v>8221</v>
      </c>
      <c r="J17" s="137">
        <f>GETPIVOTDATA("Usuarios afec",$A$3,"SE","LMX")/N3</f>
        <v>1.5402226493852974E-2</v>
      </c>
      <c r="K17" s="123">
        <f>GETPIVOTDATA("Suma de DEMUA",$A$3,"SE","LMX")/GETPIVOTDATA("Usuarios afec",$A$3,"SE","LMX")</f>
        <v>187.04914244009245</v>
      </c>
      <c r="L17" s="123">
        <f>GETPIVOTDATA("Duracion",$A$3,"SE","LMX")/GETPIVOTDATA("NI",$A$3,"SE","LMX")</f>
        <v>656.33333333333337</v>
      </c>
      <c r="M17" s="123">
        <f>GETPIVOTDATA("Usuarios afec",$A$3,"SE","LMX")/GETPIVOTDATA("NI",$A$3,"SE","LMX")</f>
        <v>913.44444444444446</v>
      </c>
      <c r="N17">
        <v>533754</v>
      </c>
    </row>
    <row r="18" spans="1:14" x14ac:dyDescent="0.25">
      <c r="A18" s="23" t="s">
        <v>352</v>
      </c>
      <c r="B18" s="23">
        <v>4010</v>
      </c>
      <c r="C18" s="23" t="s">
        <v>20</v>
      </c>
      <c r="D18" s="2" t="s">
        <v>1009</v>
      </c>
      <c r="E18" s="113"/>
      <c r="F18" s="113"/>
      <c r="G18" s="113">
        <v>4</v>
      </c>
      <c r="H18" s="113"/>
      <c r="I18" s="113"/>
      <c r="J18" s="138"/>
      <c r="K18" s="18"/>
      <c r="L18" s="18"/>
      <c r="M18" s="18"/>
      <c r="N18">
        <v>533754</v>
      </c>
    </row>
    <row r="19" spans="1:14" x14ac:dyDescent="0.25">
      <c r="A19" s="24"/>
      <c r="B19" s="24"/>
      <c r="C19" s="23" t="s">
        <v>560</v>
      </c>
      <c r="D19" s="2" t="s">
        <v>108</v>
      </c>
      <c r="E19" s="4">
        <v>1</v>
      </c>
      <c r="F19" s="4">
        <v>2.1822787276535631E-2</v>
      </c>
      <c r="G19" s="4">
        <v>896</v>
      </c>
      <c r="H19" s="4">
        <v>11648</v>
      </c>
      <c r="I19" s="4">
        <v>13</v>
      </c>
      <c r="J19" s="134"/>
      <c r="K19" s="18"/>
      <c r="L19" s="18"/>
      <c r="M19" s="18"/>
      <c r="N19">
        <v>533754</v>
      </c>
    </row>
    <row r="20" spans="1:14" x14ac:dyDescent="0.25">
      <c r="A20" s="24"/>
      <c r="B20" s="24"/>
      <c r="C20" s="24"/>
      <c r="D20" s="2" t="s">
        <v>36</v>
      </c>
      <c r="E20" s="4">
        <v>1</v>
      </c>
      <c r="F20" s="4">
        <v>3.7751473525256952E-3</v>
      </c>
      <c r="G20" s="4">
        <v>155</v>
      </c>
      <c r="H20" s="4">
        <v>2015</v>
      </c>
      <c r="I20" s="4">
        <v>13</v>
      </c>
      <c r="J20" s="134"/>
      <c r="K20" s="18"/>
      <c r="L20" s="18"/>
      <c r="M20" s="18"/>
      <c r="N20">
        <v>533754</v>
      </c>
    </row>
    <row r="21" spans="1:14" x14ac:dyDescent="0.25">
      <c r="A21" s="24"/>
      <c r="B21" s="24"/>
      <c r="C21" s="2" t="s">
        <v>960</v>
      </c>
      <c r="D21" s="2" t="s">
        <v>36</v>
      </c>
      <c r="E21" s="4">
        <v>1</v>
      </c>
      <c r="F21" s="4">
        <v>2.4078508076754459E-2</v>
      </c>
      <c r="G21" s="4">
        <v>378</v>
      </c>
      <c r="H21" s="4">
        <v>12852</v>
      </c>
      <c r="I21" s="4">
        <v>34</v>
      </c>
      <c r="J21" s="134"/>
      <c r="K21" s="18"/>
      <c r="L21" s="18"/>
      <c r="M21" s="18"/>
      <c r="N21">
        <v>533754</v>
      </c>
    </row>
    <row r="22" spans="1:14" x14ac:dyDescent="0.25">
      <c r="A22" s="24"/>
      <c r="B22" s="24"/>
      <c r="C22" s="24" t="s">
        <v>947</v>
      </c>
      <c r="D22" s="2" t="s">
        <v>1006</v>
      </c>
      <c r="E22" s="4">
        <v>1</v>
      </c>
      <c r="F22" s="4">
        <v>6.8732037605338789E-2</v>
      </c>
      <c r="G22" s="4">
        <v>1079</v>
      </c>
      <c r="H22" s="4">
        <v>36686</v>
      </c>
      <c r="I22" s="4">
        <v>34</v>
      </c>
      <c r="J22" s="134"/>
      <c r="K22" s="18"/>
      <c r="L22" s="18"/>
      <c r="M22" s="18"/>
      <c r="N22">
        <v>533754</v>
      </c>
    </row>
    <row r="23" spans="1:14" x14ac:dyDescent="0.25">
      <c r="A23" s="24"/>
      <c r="B23" s="24"/>
      <c r="C23" s="24"/>
      <c r="D23" s="2" t="s">
        <v>36</v>
      </c>
      <c r="E23" s="4">
        <v>1</v>
      </c>
      <c r="F23" s="4">
        <v>3.1913578165222181E-2</v>
      </c>
      <c r="G23" s="4">
        <v>501</v>
      </c>
      <c r="H23" s="4">
        <v>17034</v>
      </c>
      <c r="I23" s="4">
        <v>34</v>
      </c>
      <c r="J23" s="134"/>
      <c r="K23" s="18"/>
      <c r="L23" s="18"/>
      <c r="M23" s="18"/>
      <c r="N23">
        <v>533754</v>
      </c>
    </row>
    <row r="24" spans="1:14" x14ac:dyDescent="0.25">
      <c r="A24" s="24"/>
      <c r="B24" s="24"/>
      <c r="C24" s="2" t="s">
        <v>547</v>
      </c>
      <c r="D24" s="2" t="s">
        <v>36</v>
      </c>
      <c r="E24" s="4">
        <v>2</v>
      </c>
      <c r="F24" s="4">
        <v>7.7144152549676437E-2</v>
      </c>
      <c r="G24" s="4">
        <v>688</v>
      </c>
      <c r="H24" s="4">
        <v>41176</v>
      </c>
      <c r="I24" s="4">
        <v>116</v>
      </c>
      <c r="J24" s="134"/>
      <c r="K24" s="18"/>
      <c r="L24" s="18"/>
      <c r="M24" s="18"/>
      <c r="N24">
        <v>533754</v>
      </c>
    </row>
    <row r="25" spans="1:14" x14ac:dyDescent="0.25">
      <c r="A25" s="24"/>
      <c r="B25" s="24"/>
      <c r="C25" s="2" t="s">
        <v>965</v>
      </c>
      <c r="D25" s="2" t="s">
        <v>36</v>
      </c>
      <c r="E25" s="4">
        <v>1</v>
      </c>
      <c r="F25" s="4">
        <v>4.8497997204704789E-2</v>
      </c>
      <c r="G25" s="4">
        <v>602</v>
      </c>
      <c r="H25" s="4">
        <v>25886</v>
      </c>
      <c r="I25" s="4">
        <v>43</v>
      </c>
      <c r="J25" s="134"/>
      <c r="K25" s="18"/>
      <c r="L25" s="18"/>
      <c r="M25" s="18"/>
      <c r="N25">
        <v>533754</v>
      </c>
    </row>
    <row r="26" spans="1:14" x14ac:dyDescent="0.25">
      <c r="A26" s="24"/>
      <c r="B26" s="24"/>
      <c r="C26" s="2" t="s">
        <v>694</v>
      </c>
      <c r="D26" s="2" t="s">
        <v>36</v>
      </c>
      <c r="E26" s="4">
        <v>1</v>
      </c>
      <c r="F26" s="4">
        <v>3.3610989332164254E-3</v>
      </c>
      <c r="G26" s="4">
        <v>138</v>
      </c>
      <c r="H26" s="4">
        <v>1794</v>
      </c>
      <c r="I26" s="4">
        <v>13</v>
      </c>
      <c r="J26" s="134"/>
      <c r="K26" s="18"/>
      <c r="L26" s="18"/>
      <c r="M26" s="18"/>
      <c r="N26">
        <v>533754</v>
      </c>
    </row>
    <row r="27" spans="1:14" x14ac:dyDescent="0.25">
      <c r="A27" s="24"/>
      <c r="B27" s="24"/>
      <c r="C27" s="2" t="s">
        <v>696</v>
      </c>
      <c r="D27" s="2" t="s">
        <v>36</v>
      </c>
      <c r="E27" s="4">
        <v>1</v>
      </c>
      <c r="F27" s="4">
        <v>1.1121228131311427E-2</v>
      </c>
      <c r="G27" s="4">
        <v>112</v>
      </c>
      <c r="H27" s="4">
        <v>5936</v>
      </c>
      <c r="I27" s="4">
        <v>53</v>
      </c>
      <c r="J27" s="134"/>
      <c r="K27" s="18"/>
      <c r="L27" s="18"/>
      <c r="M27" s="18"/>
      <c r="N27">
        <v>533754</v>
      </c>
    </row>
    <row r="28" spans="1:14" x14ac:dyDescent="0.25">
      <c r="A28" s="24"/>
      <c r="B28" s="24"/>
      <c r="C28" s="2" t="s">
        <v>354</v>
      </c>
      <c r="D28" s="2" t="s">
        <v>36</v>
      </c>
      <c r="E28" s="4">
        <v>1</v>
      </c>
      <c r="F28" s="4">
        <v>1.2859856787958498E-2</v>
      </c>
      <c r="G28" s="4">
        <v>104</v>
      </c>
      <c r="H28" s="4">
        <v>6864</v>
      </c>
      <c r="I28" s="4">
        <v>66</v>
      </c>
      <c r="J28" s="134"/>
      <c r="K28" s="18"/>
      <c r="L28" s="18"/>
      <c r="M28" s="18"/>
      <c r="N28">
        <v>533754</v>
      </c>
    </row>
    <row r="29" spans="1:14" x14ac:dyDescent="0.25">
      <c r="A29" s="24"/>
      <c r="B29" s="24"/>
      <c r="C29" s="2" t="s">
        <v>835</v>
      </c>
      <c r="D29" s="2" t="s">
        <v>36</v>
      </c>
      <c r="E29" s="4">
        <v>1</v>
      </c>
      <c r="F29" s="4">
        <v>5.4191631350772075E-2</v>
      </c>
      <c r="G29" s="4">
        <v>445</v>
      </c>
      <c r="H29" s="4">
        <v>28925</v>
      </c>
      <c r="I29" s="4">
        <v>65</v>
      </c>
      <c r="J29" s="134"/>
      <c r="K29" s="18"/>
      <c r="L29" s="18"/>
      <c r="M29" s="18"/>
      <c r="N29">
        <v>533754</v>
      </c>
    </row>
    <row r="30" spans="1:14" x14ac:dyDescent="0.25">
      <c r="A30" s="24"/>
      <c r="B30" s="17"/>
      <c r="C30" s="2" t="s">
        <v>474</v>
      </c>
      <c r="D30" s="2" t="s">
        <v>36</v>
      </c>
      <c r="E30" s="4">
        <v>1</v>
      </c>
      <c r="F30" s="4">
        <v>4.656452223308865E-2</v>
      </c>
      <c r="G30" s="4">
        <v>731</v>
      </c>
      <c r="H30" s="4">
        <v>24854</v>
      </c>
      <c r="I30" s="4">
        <v>34</v>
      </c>
      <c r="J30" s="134"/>
      <c r="K30" s="18"/>
      <c r="L30" s="18"/>
      <c r="M30" s="18"/>
      <c r="N30">
        <v>533754</v>
      </c>
    </row>
    <row r="31" spans="1:14" x14ac:dyDescent="0.25">
      <c r="A31" s="24"/>
      <c r="B31" s="89" t="s">
        <v>75</v>
      </c>
      <c r="C31" s="90"/>
      <c r="D31" s="91"/>
      <c r="E31" s="121">
        <v>13</v>
      </c>
      <c r="F31" s="121">
        <v>0.40406254566710503</v>
      </c>
      <c r="G31" s="121">
        <v>5833</v>
      </c>
      <c r="H31" s="121">
        <v>215670</v>
      </c>
      <c r="I31" s="121">
        <v>518</v>
      </c>
      <c r="J31" s="135">
        <f>GETPIVOTDATA("Usuarios afec",$A$3,"SE","GIA","Circuito",4010)/N31</f>
        <v>9.7048453032670483E-4</v>
      </c>
      <c r="K31" s="103">
        <f>GETPIVOTDATA("Suma de DEMUA",$A$3,"SE","GIA","Circuito",4010)/GETPIVOTDATA("Usuarios afec",$A$3,"SE","GIA","Circuito",4010)</f>
        <v>416.35135135135135</v>
      </c>
      <c r="L31" s="103">
        <f>GETPIVOTDATA("Duracion",$A$3,"SE","GIA","Circuito",4010)/GETPIVOTDATA("NI",$A$3,"SE","GIA","Circuito",4010)</f>
        <v>448.69230769230768</v>
      </c>
      <c r="M31" s="103">
        <f>GETPIVOTDATA("Usuarios afec",$A$3,"SE","GIA","Circuito",4010)/GETPIVOTDATA("NI",$A$3,"SE","GIA","Circuito",4010)</f>
        <v>39.846153846153847</v>
      </c>
      <c r="N31">
        <v>533754</v>
      </c>
    </row>
    <row r="32" spans="1:14" x14ac:dyDescent="0.25">
      <c r="A32" s="24"/>
      <c r="B32" s="23">
        <v>4020</v>
      </c>
      <c r="C32" s="2" t="s">
        <v>615</v>
      </c>
      <c r="D32" s="2" t="s">
        <v>44</v>
      </c>
      <c r="E32" s="4">
        <v>1</v>
      </c>
      <c r="F32" s="4">
        <v>0.15166162689178911</v>
      </c>
      <c r="G32" s="4">
        <v>1619</v>
      </c>
      <c r="H32" s="4">
        <v>80950</v>
      </c>
      <c r="I32" s="4">
        <v>50</v>
      </c>
      <c r="J32" s="134"/>
      <c r="K32" s="18"/>
      <c r="L32" s="18"/>
      <c r="M32" s="18"/>
      <c r="N32">
        <v>533754</v>
      </c>
    </row>
    <row r="33" spans="1:14" x14ac:dyDescent="0.25">
      <c r="A33" s="24"/>
      <c r="B33" s="24"/>
      <c r="C33" s="2" t="s">
        <v>371</v>
      </c>
      <c r="D33" s="2" t="s">
        <v>1009</v>
      </c>
      <c r="E33" s="4">
        <v>1</v>
      </c>
      <c r="F33" s="4">
        <v>2.8945918906462528E-2</v>
      </c>
      <c r="G33" s="4">
        <v>103</v>
      </c>
      <c r="H33" s="4">
        <v>15450</v>
      </c>
      <c r="I33" s="4">
        <v>150</v>
      </c>
      <c r="J33" s="134"/>
      <c r="K33" s="18"/>
      <c r="L33" s="18"/>
      <c r="M33" s="18"/>
      <c r="N33">
        <v>533754</v>
      </c>
    </row>
    <row r="34" spans="1:14" x14ac:dyDescent="0.25">
      <c r="A34" s="24"/>
      <c r="B34" s="24"/>
      <c r="C34" s="2" t="s">
        <v>839</v>
      </c>
      <c r="D34" s="2" t="s">
        <v>36</v>
      </c>
      <c r="E34" s="4">
        <v>1</v>
      </c>
      <c r="F34" s="4">
        <v>2.988268003612151E-2</v>
      </c>
      <c r="G34" s="4">
        <v>110</v>
      </c>
      <c r="H34" s="4">
        <v>15950</v>
      </c>
      <c r="I34" s="4">
        <v>145</v>
      </c>
      <c r="J34" s="134"/>
      <c r="K34" s="18"/>
      <c r="L34" s="18"/>
      <c r="M34" s="18"/>
      <c r="N34">
        <v>533754</v>
      </c>
    </row>
    <row r="35" spans="1:14" x14ac:dyDescent="0.25">
      <c r="A35" s="24"/>
      <c r="B35" s="24"/>
      <c r="C35" s="23" t="s">
        <v>678</v>
      </c>
      <c r="D35" s="2" t="s">
        <v>36</v>
      </c>
      <c r="E35" s="4">
        <v>1</v>
      </c>
      <c r="F35" s="4">
        <v>3.2172124237008062E-2</v>
      </c>
      <c r="G35" s="4">
        <v>477</v>
      </c>
      <c r="H35" s="4">
        <v>17172</v>
      </c>
      <c r="I35" s="4">
        <v>36</v>
      </c>
      <c r="J35" s="134"/>
      <c r="K35" s="18"/>
      <c r="L35" s="18"/>
      <c r="M35" s="18"/>
      <c r="N35">
        <v>533754</v>
      </c>
    </row>
    <row r="36" spans="1:14" x14ac:dyDescent="0.25">
      <c r="A36" s="24"/>
      <c r="B36" s="24"/>
      <c r="C36" s="17"/>
      <c r="D36" s="2" t="s">
        <v>107</v>
      </c>
      <c r="E36" s="4">
        <v>1</v>
      </c>
      <c r="F36" s="4">
        <v>9.5099989882979803E-3</v>
      </c>
      <c r="G36" s="4">
        <v>141</v>
      </c>
      <c r="H36" s="4">
        <v>5076</v>
      </c>
      <c r="I36" s="4">
        <v>36</v>
      </c>
      <c r="J36" s="134"/>
      <c r="K36" s="18"/>
      <c r="L36" s="18"/>
      <c r="M36" s="18"/>
      <c r="N36">
        <v>533754</v>
      </c>
    </row>
    <row r="37" spans="1:14" x14ac:dyDescent="0.25">
      <c r="A37" s="24"/>
      <c r="B37" s="24"/>
      <c r="C37" s="17" t="s">
        <v>750</v>
      </c>
      <c r="D37" s="2" t="s">
        <v>36</v>
      </c>
      <c r="E37" s="4">
        <v>1</v>
      </c>
      <c r="F37" s="4">
        <v>3.8557088096763677E-2</v>
      </c>
      <c r="G37" s="4">
        <v>294</v>
      </c>
      <c r="H37" s="4">
        <v>20580</v>
      </c>
      <c r="I37" s="4">
        <v>70</v>
      </c>
      <c r="J37" s="134"/>
      <c r="K37" s="18"/>
      <c r="L37" s="18"/>
      <c r="M37" s="18"/>
      <c r="N37">
        <v>533754</v>
      </c>
    </row>
    <row r="38" spans="1:14" x14ac:dyDescent="0.25">
      <c r="A38" s="24"/>
      <c r="B38" s="17"/>
      <c r="C38" s="2" t="s">
        <v>681</v>
      </c>
      <c r="D38" s="2" t="s">
        <v>36</v>
      </c>
      <c r="E38" s="4">
        <v>2</v>
      </c>
      <c r="F38" s="4">
        <v>9.4376810290883073E-2</v>
      </c>
      <c r="G38" s="4">
        <v>566</v>
      </c>
      <c r="H38" s="4">
        <v>50374</v>
      </c>
      <c r="I38" s="4">
        <v>178</v>
      </c>
      <c r="J38" s="134"/>
      <c r="K38" s="18"/>
      <c r="L38" s="18"/>
      <c r="M38" s="18"/>
      <c r="N38">
        <v>533754</v>
      </c>
    </row>
    <row r="39" spans="1:14" x14ac:dyDescent="0.25">
      <c r="A39" s="24"/>
      <c r="B39" s="89" t="s">
        <v>76</v>
      </c>
      <c r="C39" s="90"/>
      <c r="D39" s="91"/>
      <c r="E39" s="92">
        <v>8</v>
      </c>
      <c r="F39" s="92">
        <v>0.38510624744732591</v>
      </c>
      <c r="G39" s="92">
        <v>3310</v>
      </c>
      <c r="H39" s="92">
        <v>205552</v>
      </c>
      <c r="I39" s="92">
        <v>665</v>
      </c>
      <c r="J39" s="135">
        <f>GETPIVOTDATA("Usuarios afec",$A$3,"SE","GIA","Circuito",4020)/N39</f>
        <v>1.2458923024464455E-3</v>
      </c>
      <c r="K39" s="103">
        <f>GETPIVOTDATA("Suma de DEMUA",$A$3,"SE","GIA","Circuito",4020)/GETPIVOTDATA("Usuarios afec",$A$3,"SE","GIA","Circuito",4020)</f>
        <v>309.10075187969926</v>
      </c>
      <c r="L39" s="103">
        <f>GETPIVOTDATA("Duracion",$A$3,"SE","GIA","Circuito",4020)/GETPIVOTDATA("NI",$A$3,"SE","GIA","Circuito",4020)</f>
        <v>413.75</v>
      </c>
      <c r="M39" s="103">
        <f>GETPIVOTDATA("Usuarios afec",$A$3,"SE","GIA","Circuito",4020)/GETPIVOTDATA("NI",$A$3,"SE","GIA","Circuito",4020)</f>
        <v>83.125</v>
      </c>
      <c r="N39">
        <v>533754</v>
      </c>
    </row>
    <row r="40" spans="1:14" x14ac:dyDescent="0.25">
      <c r="A40" s="24"/>
      <c r="B40" s="23">
        <v>4030</v>
      </c>
      <c r="C40" s="2" t="s">
        <v>457</v>
      </c>
      <c r="D40" s="2" t="s">
        <v>36</v>
      </c>
      <c r="E40" s="4">
        <v>1</v>
      </c>
      <c r="F40" s="4">
        <v>3.3594127631830395E-2</v>
      </c>
      <c r="G40" s="4">
        <v>129</v>
      </c>
      <c r="H40" s="4">
        <v>17931</v>
      </c>
      <c r="I40" s="4">
        <v>139</v>
      </c>
      <c r="J40" s="134"/>
      <c r="K40" s="18"/>
      <c r="L40" s="18"/>
      <c r="M40" s="18"/>
      <c r="N40">
        <v>533754</v>
      </c>
    </row>
    <row r="41" spans="1:14" x14ac:dyDescent="0.25">
      <c r="A41" s="24"/>
      <c r="B41" s="24"/>
      <c r="C41" s="2" t="s">
        <v>805</v>
      </c>
      <c r="D41" s="2" t="s">
        <v>36</v>
      </c>
      <c r="E41" s="4">
        <v>2</v>
      </c>
      <c r="F41" s="4">
        <v>7.2179318562483843E-2</v>
      </c>
      <c r="G41" s="4">
        <v>597</v>
      </c>
      <c r="H41" s="4">
        <v>38526</v>
      </c>
      <c r="I41" s="4">
        <v>146</v>
      </c>
      <c r="J41" s="134"/>
      <c r="K41" s="18"/>
      <c r="L41" s="18"/>
      <c r="M41" s="18"/>
      <c r="N41">
        <v>533754</v>
      </c>
    </row>
    <row r="42" spans="1:14" x14ac:dyDescent="0.25">
      <c r="A42" s="24"/>
      <c r="B42" s="24"/>
      <c r="C42" s="2" t="s">
        <v>532</v>
      </c>
      <c r="D42" s="2" t="s">
        <v>35</v>
      </c>
      <c r="E42" s="4">
        <v>1</v>
      </c>
      <c r="F42" s="4">
        <v>4.9123753639316987E-2</v>
      </c>
      <c r="G42" s="4">
        <v>285</v>
      </c>
      <c r="H42" s="4">
        <v>26220</v>
      </c>
      <c r="I42" s="4">
        <v>92</v>
      </c>
      <c r="J42" s="134"/>
      <c r="K42" s="18"/>
      <c r="L42" s="18"/>
      <c r="M42" s="18"/>
      <c r="N42">
        <v>533754</v>
      </c>
    </row>
    <row r="43" spans="1:14" x14ac:dyDescent="0.25">
      <c r="A43" s="24"/>
      <c r="B43" s="24"/>
      <c r="C43" s="24" t="s">
        <v>617</v>
      </c>
      <c r="D43" s="2" t="s">
        <v>35</v>
      </c>
      <c r="E43" s="4">
        <v>1</v>
      </c>
      <c r="F43" s="4">
        <v>4.820198068773255E-2</v>
      </c>
      <c r="G43" s="4">
        <v>268</v>
      </c>
      <c r="H43" s="4">
        <v>25728</v>
      </c>
      <c r="I43" s="4">
        <v>96</v>
      </c>
      <c r="J43" s="134"/>
      <c r="K43" s="18"/>
      <c r="L43" s="18"/>
      <c r="M43" s="18"/>
      <c r="N43">
        <v>533754</v>
      </c>
    </row>
    <row r="44" spans="1:14" x14ac:dyDescent="0.25">
      <c r="A44" s="24"/>
      <c r="B44" s="24"/>
      <c r="C44" s="17"/>
      <c r="D44" s="2" t="s">
        <v>36</v>
      </c>
      <c r="E44" s="4">
        <v>1</v>
      </c>
      <c r="F44" s="4">
        <v>2.4303330747872616E-2</v>
      </c>
      <c r="G44" s="4">
        <v>141</v>
      </c>
      <c r="H44" s="4">
        <v>12972</v>
      </c>
      <c r="I44" s="4">
        <v>92</v>
      </c>
      <c r="J44" s="134"/>
      <c r="K44" s="18"/>
      <c r="L44" s="18"/>
      <c r="M44" s="18"/>
      <c r="N44">
        <v>533754</v>
      </c>
    </row>
    <row r="45" spans="1:14" x14ac:dyDescent="0.25">
      <c r="A45" s="24"/>
      <c r="B45" s="17"/>
      <c r="C45" s="17" t="s">
        <v>817</v>
      </c>
      <c r="D45" s="2" t="s">
        <v>35</v>
      </c>
      <c r="E45" s="4">
        <v>1</v>
      </c>
      <c r="F45" s="4">
        <v>2.972717768859812E-2</v>
      </c>
      <c r="G45" s="4">
        <v>369</v>
      </c>
      <c r="H45" s="4">
        <v>15867</v>
      </c>
      <c r="I45" s="4">
        <v>43</v>
      </c>
      <c r="J45" s="134"/>
      <c r="K45" s="18"/>
      <c r="L45" s="18"/>
      <c r="M45" s="18"/>
      <c r="N45">
        <v>533754</v>
      </c>
    </row>
    <row r="46" spans="1:14" x14ac:dyDescent="0.25">
      <c r="A46" s="24"/>
      <c r="B46" s="89" t="s">
        <v>77</v>
      </c>
      <c r="C46" s="90"/>
      <c r="D46" s="91"/>
      <c r="E46" s="92">
        <v>7</v>
      </c>
      <c r="F46" s="92">
        <v>0.2571296889578345</v>
      </c>
      <c r="G46" s="92">
        <v>1789</v>
      </c>
      <c r="H46" s="92">
        <v>137244</v>
      </c>
      <c r="I46" s="92">
        <v>608</v>
      </c>
      <c r="J46" s="135">
        <f>GETPIVOTDATA("Usuarios afec",$A$3,"SE","GIA","Circuito",4030)/N46</f>
        <v>1.1391015336653216E-3</v>
      </c>
      <c r="K46" s="103">
        <f>GETPIVOTDATA("Suma de DEMUA",$A$3,"SE","GIA","Circuito",4030)/GETPIVOTDATA("Usuarios afec",$A$3,"SE","GIA","Circuito",4030)</f>
        <v>225.73026315789474</v>
      </c>
      <c r="L46" s="103">
        <f>GETPIVOTDATA("Duracion",$A$3,"SE","GIA","Circuito",4030)/GETPIVOTDATA("NI",$A$3,"SE","GIA","Circuito",4030)</f>
        <v>255.57142857142858</v>
      </c>
      <c r="M46" s="103">
        <f>GETPIVOTDATA("Usuarios afec",$A$3,"SE","GIA","Circuito",4030)/GETPIVOTDATA("NI",$A$3,"SE","GIA","Circuito",4030)</f>
        <v>86.857142857142861</v>
      </c>
      <c r="N46">
        <v>533754</v>
      </c>
    </row>
    <row r="47" spans="1:14" x14ac:dyDescent="0.25">
      <c r="A47" s="24"/>
      <c r="B47" s="23">
        <v>5010</v>
      </c>
      <c r="C47" s="2" t="s">
        <v>545</v>
      </c>
      <c r="D47" s="2" t="s">
        <v>36</v>
      </c>
      <c r="E47" s="4">
        <v>1</v>
      </c>
      <c r="F47" s="4">
        <v>5.0800556061406564E-2</v>
      </c>
      <c r="G47" s="4">
        <v>493</v>
      </c>
      <c r="H47" s="4">
        <v>27115</v>
      </c>
      <c r="I47" s="4">
        <v>55</v>
      </c>
      <c r="J47" s="134"/>
      <c r="K47" s="18"/>
      <c r="L47" s="18"/>
      <c r="M47" s="18"/>
      <c r="N47">
        <v>533754</v>
      </c>
    </row>
    <row r="48" spans="1:14" x14ac:dyDescent="0.25">
      <c r="A48" s="24"/>
      <c r="B48" s="24"/>
      <c r="C48" s="2" t="s">
        <v>482</v>
      </c>
      <c r="D48" s="2" t="s">
        <v>35</v>
      </c>
      <c r="E48" s="4">
        <v>1</v>
      </c>
      <c r="F48" s="4">
        <v>1.4988178074543705E-3</v>
      </c>
      <c r="G48" s="4">
        <v>40</v>
      </c>
      <c r="H48" s="4">
        <v>800</v>
      </c>
      <c r="I48" s="4">
        <v>20</v>
      </c>
      <c r="J48" s="134"/>
      <c r="K48" s="18"/>
      <c r="L48" s="18"/>
      <c r="M48" s="18"/>
      <c r="N48">
        <v>533754</v>
      </c>
    </row>
    <row r="49" spans="1:14" x14ac:dyDescent="0.25">
      <c r="A49" s="24"/>
      <c r="B49" s="17"/>
      <c r="C49" s="2" t="s">
        <v>471</v>
      </c>
      <c r="D49" s="2" t="s">
        <v>35</v>
      </c>
      <c r="E49" s="4">
        <v>1</v>
      </c>
      <c r="F49" s="4">
        <v>6.2674940140963808E-2</v>
      </c>
      <c r="G49" s="4">
        <v>567</v>
      </c>
      <c r="H49" s="4">
        <v>33453</v>
      </c>
      <c r="I49" s="4">
        <v>59</v>
      </c>
      <c r="J49" s="134"/>
      <c r="K49" s="18"/>
      <c r="L49" s="18"/>
      <c r="M49" s="18"/>
      <c r="N49">
        <v>533754</v>
      </c>
    </row>
    <row r="50" spans="1:14" x14ac:dyDescent="0.25">
      <c r="A50" s="24"/>
      <c r="B50" s="89" t="s">
        <v>1010</v>
      </c>
      <c r="C50" s="90"/>
      <c r="D50" s="91"/>
      <c r="E50" s="92">
        <v>3</v>
      </c>
      <c r="F50" s="92">
        <v>0.11497431400982475</v>
      </c>
      <c r="G50" s="92">
        <v>1100</v>
      </c>
      <c r="H50" s="92">
        <v>61368</v>
      </c>
      <c r="I50" s="92">
        <v>134</v>
      </c>
      <c r="J50" s="135">
        <f>GETPIVOTDATA("Usuarios afec",$A$3,"SE","GIA","Circuito",5010)/N50</f>
        <v>2.5105198274860701E-4</v>
      </c>
      <c r="K50" s="103">
        <f>GETPIVOTDATA("Suma de DEMUA",$A$3,"SE","GIA","Circuito",5010)/GETPIVOTDATA("Usuarios afec",$A$3,"SE","GIA","Circuito",5010)</f>
        <v>457.97014925373134</v>
      </c>
      <c r="L50" s="103">
        <f>GETPIVOTDATA("Duracion",$A$3,"SE","GIA","Circuito",5010)/GETPIVOTDATA("NI",$A$3,"SE","GIA","Circuito",5010)</f>
        <v>366.66666666666669</v>
      </c>
      <c r="M50" s="103">
        <f>GETPIVOTDATA("Usuarios afec",$A$3,"SE","GIA","Circuito",5010)/GETPIVOTDATA("NI",$A$3,"SE","GIA","Circuito",5010)</f>
        <v>44.666666666666664</v>
      </c>
      <c r="N50">
        <v>533754</v>
      </c>
    </row>
    <row r="51" spans="1:14" x14ac:dyDescent="0.25">
      <c r="A51" s="24"/>
      <c r="B51" s="2">
        <v>5030</v>
      </c>
      <c r="C51" s="2" t="s">
        <v>20</v>
      </c>
      <c r="D51" s="2" t="s">
        <v>1008</v>
      </c>
      <c r="E51" s="4">
        <v>1</v>
      </c>
      <c r="F51" s="4">
        <v>3.6499960656032553E-2</v>
      </c>
      <c r="G51" s="4">
        <v>191</v>
      </c>
      <c r="H51" s="4">
        <v>19482</v>
      </c>
      <c r="I51" s="4">
        <v>102</v>
      </c>
      <c r="J51" s="134"/>
      <c r="K51" s="18"/>
      <c r="L51" s="18"/>
      <c r="M51" s="18"/>
      <c r="N51">
        <v>533754</v>
      </c>
    </row>
    <row r="52" spans="1:14" x14ac:dyDescent="0.25">
      <c r="A52" s="17"/>
      <c r="B52" s="89" t="s">
        <v>1011</v>
      </c>
      <c r="C52" s="90"/>
      <c r="D52" s="91"/>
      <c r="E52" s="92">
        <v>1</v>
      </c>
      <c r="F52" s="92">
        <v>3.6499960656032553E-2</v>
      </c>
      <c r="G52" s="92">
        <v>191</v>
      </c>
      <c r="H52" s="92">
        <v>19482</v>
      </c>
      <c r="I52" s="92">
        <v>102</v>
      </c>
      <c r="J52" s="135">
        <f>GETPIVOTDATA("Usuarios afec",$A$3,"SE","GIA","Circuito",5030)/N52</f>
        <v>1.9109927045043223E-4</v>
      </c>
      <c r="K52" s="103">
        <f>GETPIVOTDATA("Suma de DEMUA",$A$3,"SE","GIA","Circuito",5030)/GETPIVOTDATA("Usuarios afec",$A$3,"SE","GIA","Circuito",5030)</f>
        <v>191</v>
      </c>
      <c r="L52" s="103">
        <f>GETPIVOTDATA("Duracion",$A$3,"SE","GIA","Circuito",5030)/GETPIVOTDATA("NI",$A$3,"SE","GIA","Circuito",5030)</f>
        <v>191</v>
      </c>
      <c r="M52" s="103">
        <f>GETPIVOTDATA("Usuarios afec",$A$3,"SE","GIA","Circuito",5030)/GETPIVOTDATA("NI",$A$3,"SE","GIA","Circuito",5030)</f>
        <v>102</v>
      </c>
      <c r="N52">
        <v>533754</v>
      </c>
    </row>
    <row r="53" spans="1:14" x14ac:dyDescent="0.25">
      <c r="A53" s="95" t="s">
        <v>1012</v>
      </c>
      <c r="B53" s="96"/>
      <c r="C53" s="96"/>
      <c r="D53" s="97"/>
      <c r="E53" s="98">
        <v>32</v>
      </c>
      <c r="F53" s="98">
        <v>1.1977727567381231</v>
      </c>
      <c r="G53" s="98">
        <v>12223</v>
      </c>
      <c r="H53" s="98">
        <v>639316</v>
      </c>
      <c r="I53" s="98">
        <v>2027</v>
      </c>
      <c r="J53" s="139">
        <f>GETPIVOTDATA("Usuarios afec",$A$3,"SE","GIA")/N53</f>
        <v>3.7976296196375109E-3</v>
      </c>
      <c r="K53" s="104">
        <f>GETPIVOTDATA("Suma de DEMUA",$A$3,"SE","GIA")/GETPIVOTDATA("Usuarios afec",$A$3,"SE","GIA")</f>
        <v>315.40009866798226</v>
      </c>
      <c r="L53" s="104">
        <f>GETPIVOTDATA("Duracion",$A$3,"SE","GIA")/GETPIVOTDATA("NI",$A$3,"SE","GIA")</f>
        <v>381.96875</v>
      </c>
      <c r="M53" s="104">
        <f>GETPIVOTDATA("Usuarios afec",$A$3,"SE","GIA")/GETPIVOTDATA("NI",$A$3,"SE","GIA")</f>
        <v>63.34375</v>
      </c>
      <c r="N53">
        <v>533754</v>
      </c>
    </row>
    <row r="54" spans="1:14" x14ac:dyDescent="0.25">
      <c r="A54" s="23" t="s">
        <v>366</v>
      </c>
      <c r="B54" s="51">
        <v>4020</v>
      </c>
      <c r="C54" s="79" t="s">
        <v>725</v>
      </c>
      <c r="D54" s="79" t="s">
        <v>36</v>
      </c>
      <c r="E54" s="4">
        <v>1</v>
      </c>
      <c r="F54" s="4">
        <v>3.799503141896829E-3</v>
      </c>
      <c r="G54" s="4">
        <v>156</v>
      </c>
      <c r="H54" s="4">
        <v>2028</v>
      </c>
      <c r="I54" s="4">
        <v>13</v>
      </c>
      <c r="J54" s="134"/>
      <c r="K54" s="18"/>
      <c r="L54" s="18"/>
      <c r="M54" s="18"/>
      <c r="N54">
        <v>533754</v>
      </c>
    </row>
    <row r="55" spans="1:14" x14ac:dyDescent="0.25">
      <c r="A55" s="24"/>
      <c r="B55" s="51"/>
      <c r="C55" s="25" t="s">
        <v>932</v>
      </c>
      <c r="D55" s="79" t="s">
        <v>35</v>
      </c>
      <c r="E55" s="4">
        <v>1</v>
      </c>
      <c r="F55" s="4">
        <v>4.390786766937578E-2</v>
      </c>
      <c r="G55" s="4">
        <v>651</v>
      </c>
      <c r="H55" s="4">
        <v>23436</v>
      </c>
      <c r="I55" s="4">
        <v>36</v>
      </c>
      <c r="J55" s="134"/>
      <c r="K55" s="18"/>
      <c r="L55" s="18"/>
      <c r="M55" s="18"/>
      <c r="N55">
        <v>533754</v>
      </c>
    </row>
    <row r="56" spans="1:14" x14ac:dyDescent="0.25">
      <c r="A56" s="24"/>
      <c r="B56" s="80" t="s">
        <v>76</v>
      </c>
      <c r="C56" s="80"/>
      <c r="D56" s="80"/>
      <c r="E56" s="92">
        <v>2</v>
      </c>
      <c r="F56" s="92">
        <v>4.7707370811272611E-2</v>
      </c>
      <c r="G56" s="92">
        <v>807</v>
      </c>
      <c r="H56" s="92">
        <v>25464</v>
      </c>
      <c r="I56" s="92">
        <v>49</v>
      </c>
      <c r="J56" s="135">
        <f>GETPIVOTDATA("Usuarios afec",$A$3,"SE","TGD","Circuito",4020)/N56</f>
        <v>9.180259070658018E-5</v>
      </c>
      <c r="K56" s="103">
        <f>GETPIVOTDATA("Suma de DEMUA",$A$3,"SE","TGD","Circuito",4020)/GETPIVOTDATA("Usuarios afec",$A$3,"SE","TGD","Circuito",4020)</f>
        <v>519.67346938775506</v>
      </c>
      <c r="L56" s="103">
        <f>GETPIVOTDATA("Duracion",$A$3,"SE","TGD","Circuito",4020)/GETPIVOTDATA("NI",$A$3,"SE","TGD","Circuito",4020)</f>
        <v>403.5</v>
      </c>
      <c r="M56" s="103">
        <f>GETPIVOTDATA("Usuarios afec",$A$3,"SE","TGD","Circuito",4020)/GETPIVOTDATA("NI",$A$3,"SE","TGD","Circuito",4020)</f>
        <v>24.5</v>
      </c>
      <c r="N56">
        <v>533754</v>
      </c>
    </row>
    <row r="57" spans="1:14" x14ac:dyDescent="0.25">
      <c r="A57" s="24"/>
      <c r="B57" s="23">
        <v>4090</v>
      </c>
      <c r="C57" s="2" t="s">
        <v>648</v>
      </c>
      <c r="D57" s="2" t="s">
        <v>108</v>
      </c>
      <c r="E57" s="4">
        <v>1</v>
      </c>
      <c r="F57" s="4">
        <v>4.384042086804033E-3</v>
      </c>
      <c r="G57" s="4">
        <v>15</v>
      </c>
      <c r="H57" s="4">
        <v>2340</v>
      </c>
      <c r="I57" s="4">
        <v>156</v>
      </c>
      <c r="J57" s="134"/>
      <c r="K57" s="18"/>
      <c r="L57" s="18"/>
      <c r="M57" s="18"/>
      <c r="N57">
        <v>533754</v>
      </c>
    </row>
    <row r="58" spans="1:14" x14ac:dyDescent="0.25">
      <c r="A58" s="24"/>
      <c r="B58" s="24"/>
      <c r="C58" s="2" t="s">
        <v>798</v>
      </c>
      <c r="D58" s="2" t="s">
        <v>36</v>
      </c>
      <c r="E58" s="4">
        <v>1</v>
      </c>
      <c r="F58" s="4">
        <v>0.18727728504142357</v>
      </c>
      <c r="G58" s="4">
        <v>833</v>
      </c>
      <c r="H58" s="4">
        <v>99960</v>
      </c>
      <c r="I58" s="4">
        <v>120</v>
      </c>
      <c r="J58" s="134"/>
      <c r="K58" s="18"/>
      <c r="L58" s="18"/>
      <c r="M58" s="18"/>
      <c r="N58">
        <v>533754</v>
      </c>
    </row>
    <row r="59" spans="1:14" x14ac:dyDescent="0.25">
      <c r="A59" s="24"/>
      <c r="B59" s="24"/>
      <c r="C59" s="2" t="s">
        <v>875</v>
      </c>
      <c r="D59" s="2" t="s">
        <v>35</v>
      </c>
      <c r="E59" s="4">
        <v>1</v>
      </c>
      <c r="F59" s="4">
        <v>0.101900875684304</v>
      </c>
      <c r="G59" s="4">
        <v>1110</v>
      </c>
      <c r="H59" s="4">
        <v>54390</v>
      </c>
      <c r="I59" s="4">
        <v>49</v>
      </c>
      <c r="J59" s="134"/>
      <c r="K59" s="18"/>
      <c r="L59" s="18"/>
      <c r="M59" s="18"/>
      <c r="N59">
        <v>533754</v>
      </c>
    </row>
    <row r="60" spans="1:14" x14ac:dyDescent="0.25">
      <c r="A60" s="24"/>
      <c r="B60" s="24"/>
      <c r="C60" s="2" t="s">
        <v>367</v>
      </c>
      <c r="D60" s="2" t="s">
        <v>35</v>
      </c>
      <c r="E60" s="4">
        <v>1</v>
      </c>
      <c r="F60" s="4">
        <v>9.5873754576078121E-2</v>
      </c>
      <c r="G60" s="4">
        <v>701</v>
      </c>
      <c r="H60" s="4">
        <v>51173</v>
      </c>
      <c r="I60" s="4">
        <v>73</v>
      </c>
      <c r="J60" s="134"/>
      <c r="K60" s="18"/>
      <c r="L60" s="18"/>
      <c r="M60" s="18"/>
      <c r="N60">
        <v>533754</v>
      </c>
    </row>
    <row r="61" spans="1:14" x14ac:dyDescent="0.25">
      <c r="A61" s="24"/>
      <c r="B61" s="24"/>
      <c r="C61" s="51" t="s">
        <v>580</v>
      </c>
      <c r="D61" s="2" t="s">
        <v>36</v>
      </c>
      <c r="E61" s="4">
        <v>1</v>
      </c>
      <c r="F61" s="4">
        <v>3.712759061290407E-2</v>
      </c>
      <c r="G61" s="4">
        <v>149</v>
      </c>
      <c r="H61" s="4">
        <v>19817</v>
      </c>
      <c r="I61" s="4">
        <v>133</v>
      </c>
      <c r="J61" s="134"/>
      <c r="K61" s="18"/>
      <c r="L61" s="18"/>
      <c r="M61" s="18"/>
      <c r="N61">
        <v>533754</v>
      </c>
    </row>
    <row r="62" spans="1:14" x14ac:dyDescent="0.25">
      <c r="A62" s="24"/>
      <c r="B62" s="24"/>
      <c r="C62" s="51" t="s">
        <v>631</v>
      </c>
      <c r="D62" s="2" t="s">
        <v>633</v>
      </c>
      <c r="E62" s="4">
        <v>1</v>
      </c>
      <c r="F62" s="4">
        <v>3.9259658944007916E-2</v>
      </c>
      <c r="G62" s="4">
        <v>381</v>
      </c>
      <c r="H62" s="4">
        <v>20955</v>
      </c>
      <c r="I62" s="4">
        <v>55</v>
      </c>
      <c r="J62" s="134"/>
      <c r="K62" s="18"/>
      <c r="L62" s="18"/>
      <c r="M62" s="18"/>
      <c r="N62">
        <v>533754</v>
      </c>
    </row>
    <row r="63" spans="1:14" x14ac:dyDescent="0.25">
      <c r="A63" s="24"/>
      <c r="B63" s="24"/>
      <c r="C63" s="51" t="s">
        <v>719</v>
      </c>
      <c r="D63" s="2" t="s">
        <v>36</v>
      </c>
      <c r="E63" s="4">
        <v>1</v>
      </c>
      <c r="F63" s="4">
        <v>2.1133331085106621E-3</v>
      </c>
      <c r="G63" s="4">
        <v>376</v>
      </c>
      <c r="H63" s="4">
        <v>1128</v>
      </c>
      <c r="I63" s="4">
        <v>3</v>
      </c>
      <c r="J63" s="134"/>
      <c r="K63" s="18"/>
      <c r="L63" s="18"/>
      <c r="M63" s="18"/>
      <c r="N63">
        <v>533754</v>
      </c>
    </row>
    <row r="64" spans="1:14" x14ac:dyDescent="0.25">
      <c r="A64" s="24"/>
      <c r="B64" s="24"/>
      <c r="C64" s="51" t="s">
        <v>926</v>
      </c>
      <c r="D64" s="2" t="s">
        <v>35</v>
      </c>
      <c r="E64" s="4">
        <v>1</v>
      </c>
      <c r="F64" s="4">
        <v>1.5953042038092453E-2</v>
      </c>
      <c r="G64" s="4">
        <v>131</v>
      </c>
      <c r="H64" s="4">
        <v>8515</v>
      </c>
      <c r="I64" s="4">
        <v>65</v>
      </c>
      <c r="J64" s="134"/>
      <c r="K64" s="18"/>
      <c r="L64" s="18"/>
      <c r="M64" s="18"/>
      <c r="N64">
        <v>533754</v>
      </c>
    </row>
    <row r="65" spans="1:14" x14ac:dyDescent="0.25">
      <c r="A65" s="24"/>
      <c r="B65" s="17"/>
      <c r="C65" s="51" t="s">
        <v>985</v>
      </c>
      <c r="D65" s="2" t="s">
        <v>36</v>
      </c>
      <c r="E65" s="4">
        <v>1</v>
      </c>
      <c r="F65" s="4">
        <v>5.7891837812925056E-4</v>
      </c>
      <c r="G65" s="4">
        <v>309</v>
      </c>
      <c r="H65" s="4">
        <v>309</v>
      </c>
      <c r="I65" s="4">
        <v>1</v>
      </c>
      <c r="J65" s="134"/>
      <c r="K65" s="18"/>
      <c r="L65" s="18"/>
      <c r="M65" s="18"/>
      <c r="N65">
        <v>533754</v>
      </c>
    </row>
    <row r="66" spans="1:14" x14ac:dyDescent="0.25">
      <c r="A66" s="24"/>
      <c r="B66" s="89" t="s">
        <v>1013</v>
      </c>
      <c r="C66" s="90"/>
      <c r="D66" s="91"/>
      <c r="E66" s="92">
        <v>9</v>
      </c>
      <c r="F66" s="92">
        <v>0.48446850047025403</v>
      </c>
      <c r="G66" s="92">
        <v>4005</v>
      </c>
      <c r="H66" s="92">
        <v>258587</v>
      </c>
      <c r="I66" s="92">
        <v>655</v>
      </c>
      <c r="J66" s="135">
        <f>GETPIVOTDATA("Usuarios afec",$A$3,"SE","TGD","Circuito",4090)/N66</f>
        <v>1.2271570798532657E-3</v>
      </c>
      <c r="K66" s="103">
        <f>GETPIVOTDATA("Suma de DEMUA",$A$3,"SE","TGD","Circuito",4090)/GETPIVOTDATA("Usuarios afec",$A$3,"SE","TGD","Circuito",4090)</f>
        <v>394.78931297709926</v>
      </c>
      <c r="L66" s="103">
        <f>GETPIVOTDATA("Duracion",$A$3,"SE","TGD","Circuito",4090)/GETPIVOTDATA("NI",$A$3,"SE","TGD","Circuito",4090)</f>
        <v>445</v>
      </c>
      <c r="M66" s="103">
        <f>GETPIVOTDATA("Usuarios afec",$A$3,"SE","TGD","Circuito",4090)/GETPIVOTDATA("NI",$A$3,"SE","TGD","Circuito",4090)</f>
        <v>72.777777777777771</v>
      </c>
      <c r="N66">
        <v>533754</v>
      </c>
    </row>
    <row r="67" spans="1:14" x14ac:dyDescent="0.25">
      <c r="A67" s="24"/>
      <c r="B67" s="51">
        <v>4050</v>
      </c>
      <c r="C67" s="79" t="s">
        <v>764</v>
      </c>
      <c r="D67" s="79" t="s">
        <v>108</v>
      </c>
      <c r="E67" s="4">
        <v>1</v>
      </c>
      <c r="F67" s="4">
        <v>6.9245382704391911E-3</v>
      </c>
      <c r="G67" s="4">
        <v>66</v>
      </c>
      <c r="H67" s="4">
        <v>3696</v>
      </c>
      <c r="I67" s="4">
        <v>56</v>
      </c>
      <c r="J67" s="134"/>
      <c r="K67" s="18"/>
      <c r="L67" s="18"/>
      <c r="M67" s="18"/>
      <c r="N67">
        <v>533754</v>
      </c>
    </row>
    <row r="68" spans="1:14" x14ac:dyDescent="0.25">
      <c r="A68" s="24"/>
      <c r="B68" s="51"/>
      <c r="C68" s="25" t="s">
        <v>802</v>
      </c>
      <c r="D68" s="79" t="s">
        <v>35</v>
      </c>
      <c r="E68" s="4">
        <v>1</v>
      </c>
      <c r="F68" s="4">
        <v>5.1192122213604023E-2</v>
      </c>
      <c r="G68" s="4">
        <v>276</v>
      </c>
      <c r="H68" s="4">
        <v>27324</v>
      </c>
      <c r="I68" s="4">
        <v>99</v>
      </c>
      <c r="J68" s="134"/>
      <c r="K68" s="18"/>
      <c r="L68" s="18"/>
      <c r="M68" s="18"/>
      <c r="N68">
        <v>533754</v>
      </c>
    </row>
    <row r="69" spans="1:14" x14ac:dyDescent="0.25">
      <c r="A69" s="24"/>
      <c r="B69" s="80" t="s">
        <v>312</v>
      </c>
      <c r="C69" s="80"/>
      <c r="D69" s="80"/>
      <c r="E69" s="92">
        <v>2</v>
      </c>
      <c r="F69" s="92">
        <v>5.8116660484043216E-2</v>
      </c>
      <c r="G69" s="92">
        <v>342</v>
      </c>
      <c r="H69" s="92">
        <v>31020</v>
      </c>
      <c r="I69" s="92">
        <v>155</v>
      </c>
      <c r="J69" s="135">
        <f>GETPIVOTDATA("Usuarios afec",$A$3,"SE","TGD","Circuito",4050)/N69</f>
        <v>2.9039595019428424E-4</v>
      </c>
      <c r="K69" s="103">
        <f>GETPIVOTDATA("Suma de DEMUA",$A$3,"SE","TGD","Circuito",4050)/GETPIVOTDATA("Usuarios afec",$A$3,"SE","TGD","Circuito",4050)</f>
        <v>200.12903225806451</v>
      </c>
      <c r="L69" s="103">
        <f>GETPIVOTDATA("Duracion",$A$3,"SE","TGD","Circuito",4050)/GETPIVOTDATA("NI",$A$3,"SE","TGD","Circuito",4050)</f>
        <v>171</v>
      </c>
      <c r="M69" s="103">
        <f>GETPIVOTDATA("Usuarios afec",$A$3,"SE","TGD","Circuito",4050)/GETPIVOTDATA("NI",$A$3,"SE","TGD","Circuito",4050)</f>
        <v>77.5</v>
      </c>
      <c r="N69">
        <v>533754</v>
      </c>
    </row>
    <row r="70" spans="1:14" x14ac:dyDescent="0.25">
      <c r="A70" s="24"/>
      <c r="B70" s="51">
        <v>4060</v>
      </c>
      <c r="C70" s="25" t="s">
        <v>445</v>
      </c>
      <c r="D70" s="25" t="s">
        <v>35</v>
      </c>
      <c r="E70" s="4">
        <v>1</v>
      </c>
      <c r="F70" s="4">
        <v>1.363924204783477E-2</v>
      </c>
      <c r="G70" s="4">
        <v>65</v>
      </c>
      <c r="H70" s="4">
        <v>7280</v>
      </c>
      <c r="I70" s="4">
        <v>112</v>
      </c>
      <c r="J70" s="134"/>
      <c r="K70" s="18"/>
      <c r="L70" s="18"/>
      <c r="M70" s="18"/>
      <c r="N70">
        <v>533754</v>
      </c>
    </row>
    <row r="71" spans="1:14" x14ac:dyDescent="0.25">
      <c r="A71" s="24"/>
      <c r="B71" s="51"/>
      <c r="C71" s="25" t="s">
        <v>686</v>
      </c>
      <c r="D71" s="25" t="s">
        <v>36</v>
      </c>
      <c r="E71" s="4">
        <v>2</v>
      </c>
      <c r="F71" s="4">
        <v>5.7320413523833075E-2</v>
      </c>
      <c r="G71" s="4">
        <v>211</v>
      </c>
      <c r="H71" s="4">
        <v>30595</v>
      </c>
      <c r="I71" s="4">
        <v>290</v>
      </c>
      <c r="J71" s="134"/>
      <c r="K71" s="18"/>
      <c r="L71" s="18"/>
      <c r="M71" s="18"/>
      <c r="N71">
        <v>533754</v>
      </c>
    </row>
    <row r="72" spans="1:14" x14ac:dyDescent="0.25">
      <c r="A72" s="24"/>
      <c r="B72" s="80" t="s">
        <v>1014</v>
      </c>
      <c r="C72" s="80"/>
      <c r="D72" s="80"/>
      <c r="E72" s="92">
        <v>3</v>
      </c>
      <c r="F72" s="92">
        <v>7.0959655571667835E-2</v>
      </c>
      <c r="G72" s="92">
        <v>276</v>
      </c>
      <c r="H72" s="92">
        <v>37875</v>
      </c>
      <c r="I72" s="92">
        <v>402</v>
      </c>
      <c r="J72" s="135">
        <f>GETPIVOTDATA("Usuarios afec",$A$3,"SE","TGD","Circuito",4060)/N72</f>
        <v>7.5315594824582109E-4</v>
      </c>
      <c r="K72" s="103">
        <f>GETPIVOTDATA("Suma de DEMUA",$A$3,"SE","TGD","Circuito",4060)/GETPIVOTDATA("Usuarios afec",$A$3,"SE","TGD","Circuito",4060)</f>
        <v>94.21641791044776</v>
      </c>
      <c r="L72" s="103">
        <f>GETPIVOTDATA("Duracion",$A$3,"SE","TGD","Circuito",4060)/GETPIVOTDATA("NI",$A$3,"SE","TGD","Circuito",4060)</f>
        <v>92</v>
      </c>
      <c r="M72" s="103">
        <f>GETPIVOTDATA("Usuarios afec",$A$3,"SE","TGD","Circuito",4060)/GETPIVOTDATA("NI",$A$3,"SE","TGD","Circuito",4060)</f>
        <v>134</v>
      </c>
      <c r="N72">
        <v>533754</v>
      </c>
    </row>
    <row r="73" spans="1:14" x14ac:dyDescent="0.25">
      <c r="A73" s="24"/>
      <c r="B73" s="51">
        <v>4070</v>
      </c>
      <c r="C73" s="25" t="s">
        <v>529</v>
      </c>
      <c r="D73" s="25" t="s">
        <v>35</v>
      </c>
      <c r="E73" s="4">
        <v>1</v>
      </c>
      <c r="F73" s="4">
        <v>2.6086923938743317E-2</v>
      </c>
      <c r="G73" s="4">
        <v>236</v>
      </c>
      <c r="H73" s="4">
        <v>13924</v>
      </c>
      <c r="I73" s="4">
        <v>59</v>
      </c>
      <c r="J73" s="134"/>
      <c r="K73" s="18"/>
      <c r="L73" s="18"/>
      <c r="M73" s="18"/>
      <c r="N73">
        <v>533754</v>
      </c>
    </row>
    <row r="74" spans="1:14" x14ac:dyDescent="0.25">
      <c r="A74" s="24"/>
      <c r="B74" s="51"/>
      <c r="C74" s="25"/>
      <c r="D74" s="25" t="s">
        <v>36</v>
      </c>
      <c r="E74" s="4">
        <v>1</v>
      </c>
      <c r="F74" s="4">
        <v>1.4613473622680111E-2</v>
      </c>
      <c r="G74" s="4">
        <v>78</v>
      </c>
      <c r="H74" s="4">
        <v>7800</v>
      </c>
      <c r="I74" s="4">
        <v>100</v>
      </c>
      <c r="J74" s="134"/>
      <c r="K74" s="18"/>
      <c r="L74" s="18"/>
      <c r="M74" s="18"/>
      <c r="N74">
        <v>533754</v>
      </c>
    </row>
    <row r="75" spans="1:14" x14ac:dyDescent="0.25">
      <c r="A75" s="24"/>
      <c r="B75" s="51"/>
      <c r="C75" s="25" t="s">
        <v>768</v>
      </c>
      <c r="D75" s="25" t="s">
        <v>36</v>
      </c>
      <c r="E75" s="4">
        <v>1</v>
      </c>
      <c r="F75" s="4">
        <v>0.11462583886959161</v>
      </c>
      <c r="G75" s="4">
        <v>618</v>
      </c>
      <c r="H75" s="4">
        <v>61182</v>
      </c>
      <c r="I75" s="4">
        <v>99</v>
      </c>
      <c r="J75" s="134"/>
      <c r="K75" s="18"/>
      <c r="L75" s="18"/>
      <c r="M75" s="18"/>
      <c r="N75">
        <v>533754</v>
      </c>
    </row>
    <row r="76" spans="1:14" x14ac:dyDescent="0.25">
      <c r="A76" s="24"/>
      <c r="B76" s="80" t="s">
        <v>1015</v>
      </c>
      <c r="C76" s="80"/>
      <c r="D76" s="80"/>
      <c r="E76" s="92">
        <v>3</v>
      </c>
      <c r="F76" s="92">
        <v>0.15532623643101504</v>
      </c>
      <c r="G76" s="92">
        <v>932</v>
      </c>
      <c r="H76" s="92">
        <v>82906</v>
      </c>
      <c r="I76" s="92">
        <v>258</v>
      </c>
      <c r="J76" s="135">
        <f>GETPIVOTDATA("Usuarios afec",$A$3,"SE","TGD","Circuito",4070)/N76</f>
        <v>4.8336874290403443E-4</v>
      </c>
      <c r="K76" s="103">
        <f>GETPIVOTDATA("Suma de DEMUA",$A$3,"SE","TGD","Circuito",4070)/GETPIVOTDATA("Usuarios afec",$A$3,"SE","TGD","Circuito",4070)</f>
        <v>321.34108527131781</v>
      </c>
      <c r="L76" s="103">
        <f>GETPIVOTDATA("Duracion",$A$3,"SE","TGD","Circuito",4070)/GETPIVOTDATA("NI",$A$3,"SE","TGD","Circuito",4070)</f>
        <v>310.66666666666669</v>
      </c>
      <c r="M76" s="103">
        <f>GETPIVOTDATA("Usuarios afec",$A$3,"SE","TGD","Circuito",4070)/GETPIVOTDATA("NI",$A$3,"SE","TGD","Circuito",4070)</f>
        <v>86</v>
      </c>
      <c r="N76">
        <v>533754</v>
      </c>
    </row>
    <row r="77" spans="1:14" x14ac:dyDescent="0.25">
      <c r="A77" s="24"/>
      <c r="B77" s="51">
        <v>4100</v>
      </c>
      <c r="C77" s="25" t="s">
        <v>20</v>
      </c>
      <c r="D77" s="25" t="s">
        <v>36</v>
      </c>
      <c r="E77" s="4"/>
      <c r="F77" s="4">
        <v>0.16922027750611704</v>
      </c>
      <c r="G77" s="4">
        <v>68</v>
      </c>
      <c r="H77" s="4">
        <v>90322</v>
      </c>
      <c r="I77" s="4">
        <v>3138</v>
      </c>
      <c r="J77" s="134"/>
      <c r="K77" s="18"/>
      <c r="L77" s="18"/>
      <c r="M77" s="18"/>
      <c r="N77">
        <v>533754</v>
      </c>
    </row>
    <row r="78" spans="1:14" x14ac:dyDescent="0.25">
      <c r="A78" s="24"/>
      <c r="B78" s="51"/>
      <c r="C78" s="25" t="s">
        <v>567</v>
      </c>
      <c r="D78" s="25" t="s">
        <v>321</v>
      </c>
      <c r="E78" s="4">
        <v>1</v>
      </c>
      <c r="F78" s="4">
        <v>8.5769849031576348E-3</v>
      </c>
      <c r="G78" s="4">
        <v>42</v>
      </c>
      <c r="H78" s="4">
        <v>4578</v>
      </c>
      <c r="I78" s="4">
        <v>109</v>
      </c>
      <c r="J78" s="134"/>
      <c r="K78" s="18"/>
      <c r="L78" s="18"/>
      <c r="M78" s="18"/>
      <c r="N78">
        <v>533754</v>
      </c>
    </row>
    <row r="79" spans="1:14" x14ac:dyDescent="0.25">
      <c r="A79" s="24"/>
      <c r="B79" s="51"/>
      <c r="C79" s="25" t="s">
        <v>916</v>
      </c>
      <c r="D79" s="25" t="s">
        <v>36</v>
      </c>
      <c r="E79" s="4">
        <v>1</v>
      </c>
      <c r="F79" s="4">
        <v>5.9250141450930577E-2</v>
      </c>
      <c r="G79" s="4">
        <v>115</v>
      </c>
      <c r="H79" s="4">
        <v>31625</v>
      </c>
      <c r="I79" s="4">
        <v>275</v>
      </c>
      <c r="J79" s="134"/>
      <c r="K79" s="18"/>
      <c r="L79" s="18"/>
      <c r="M79" s="18"/>
      <c r="N79">
        <v>533754</v>
      </c>
    </row>
    <row r="80" spans="1:14" x14ac:dyDescent="0.25">
      <c r="A80" s="17"/>
      <c r="B80" s="80" t="s">
        <v>1016</v>
      </c>
      <c r="C80" s="80"/>
      <c r="D80" s="80"/>
      <c r="E80" s="92">
        <v>2</v>
      </c>
      <c r="F80" s="92">
        <v>0.23704740386020526</v>
      </c>
      <c r="G80" s="92">
        <v>225</v>
      </c>
      <c r="H80" s="92">
        <v>126525</v>
      </c>
      <c r="I80" s="92">
        <v>3522</v>
      </c>
      <c r="J80" s="135">
        <f>GETPIVOTDATA("Usuarios afec",$A$3,"SE","TGD","Circuito",4100)/N80</f>
        <v>6.5985453973178652E-3</v>
      </c>
      <c r="K80" s="103">
        <f>GETPIVOTDATA("Suma de DEMUA",$A$3,"SE","TGD","Circuito",4100)/GETPIVOTDATA("Usuarios afec",$A$3,"SE","TGD","Circuito",4100)</f>
        <v>35.92419080068143</v>
      </c>
      <c r="L80" s="103">
        <f>GETPIVOTDATA("Duracion",$A$3,"SE","TGD","Circuito",4100)/GETPIVOTDATA("NI",$A$3,"SE","TGD","Circuito",4100)</f>
        <v>112.5</v>
      </c>
      <c r="M80" s="103">
        <f>GETPIVOTDATA("Usuarios afec",$A$3,"SE","TGD","Circuito",4100)/GETPIVOTDATA("NI",$A$3,"SE","TGD","Circuito",4100)</f>
        <v>1761</v>
      </c>
      <c r="N80">
        <v>533754</v>
      </c>
    </row>
    <row r="81" spans="1:14" x14ac:dyDescent="0.25">
      <c r="A81" s="95" t="s">
        <v>1017</v>
      </c>
      <c r="B81" s="96"/>
      <c r="C81" s="96"/>
      <c r="D81" s="97"/>
      <c r="E81" s="98">
        <v>21</v>
      </c>
      <c r="F81" s="98">
        <v>1.053625827628458</v>
      </c>
      <c r="G81" s="98">
        <v>6587</v>
      </c>
      <c r="H81" s="98">
        <v>562377</v>
      </c>
      <c r="I81" s="98">
        <v>5041</v>
      </c>
      <c r="J81" s="139">
        <f>GETPIVOTDATA("Usuarios afec",$A$3,"SE","TGD")/N81</f>
        <v>9.4444257092218507E-3</v>
      </c>
      <c r="K81" s="104">
        <f>GETPIVOTDATA("Suma de DEMUA",$A$3,"SE","TGD")/GETPIVOTDATA("Usuarios afec",$A$3,"SE","TGD")</f>
        <v>111.56060305494941</v>
      </c>
      <c r="L81" s="104">
        <f>GETPIVOTDATA("Duracion",$A$3,"SE","TGD")/GETPIVOTDATA("NI",$A$3,"SE","TGD")</f>
        <v>313.66666666666669</v>
      </c>
      <c r="M81" s="104">
        <f>GETPIVOTDATA("Usuarios afec",$A$3,"SE","TGD")/GETPIVOTDATA("NI",$A$3,"SE","TGD")</f>
        <v>240.04761904761904</v>
      </c>
      <c r="N81">
        <v>533754</v>
      </c>
    </row>
    <row r="82" spans="1:14" x14ac:dyDescent="0.25">
      <c r="A82" s="23" t="s">
        <v>376</v>
      </c>
      <c r="B82" s="23">
        <v>4010</v>
      </c>
      <c r="C82" s="23" t="s">
        <v>564</v>
      </c>
      <c r="D82" s="2" t="s">
        <v>112</v>
      </c>
      <c r="E82" s="4">
        <v>1</v>
      </c>
      <c r="F82" s="4">
        <v>0.13208331928191638</v>
      </c>
      <c r="G82" s="4">
        <v>705</v>
      </c>
      <c r="H82" s="4">
        <v>70500</v>
      </c>
      <c r="I82" s="4">
        <v>100</v>
      </c>
      <c r="J82" s="134"/>
      <c r="K82" s="18"/>
      <c r="L82" s="18"/>
      <c r="M82" s="18"/>
      <c r="N82">
        <v>533754</v>
      </c>
    </row>
    <row r="83" spans="1:14" x14ac:dyDescent="0.25">
      <c r="A83" s="24"/>
      <c r="B83" s="24"/>
      <c r="C83" s="17"/>
      <c r="D83" s="17" t="s">
        <v>36</v>
      </c>
      <c r="E83" s="4">
        <v>1</v>
      </c>
      <c r="F83" s="4">
        <v>3.6158979604836688E-2</v>
      </c>
      <c r="G83" s="4">
        <v>193</v>
      </c>
      <c r="H83" s="4">
        <v>19300</v>
      </c>
      <c r="I83" s="4">
        <v>100</v>
      </c>
      <c r="J83" s="134"/>
      <c r="K83" s="18"/>
      <c r="L83" s="18"/>
      <c r="M83" s="18"/>
      <c r="N83">
        <v>533754</v>
      </c>
    </row>
    <row r="84" spans="1:14" x14ac:dyDescent="0.25">
      <c r="A84" s="24"/>
      <c r="B84" s="24"/>
      <c r="C84" s="17" t="s">
        <v>549</v>
      </c>
      <c r="D84" s="2" t="s">
        <v>36</v>
      </c>
      <c r="E84" s="4">
        <v>1</v>
      </c>
      <c r="F84" s="4">
        <v>2.5667254952656093E-2</v>
      </c>
      <c r="G84" s="4">
        <v>137</v>
      </c>
      <c r="H84" s="4">
        <v>13700</v>
      </c>
      <c r="I84" s="4">
        <v>100</v>
      </c>
      <c r="J84" s="134"/>
      <c r="K84" s="18"/>
      <c r="L84" s="18"/>
      <c r="M84" s="18"/>
      <c r="N84">
        <v>533754</v>
      </c>
    </row>
    <row r="85" spans="1:14" x14ac:dyDescent="0.25">
      <c r="A85" s="24"/>
      <c r="B85" s="24"/>
      <c r="C85" s="2" t="s">
        <v>973</v>
      </c>
      <c r="D85" s="2" t="s">
        <v>35</v>
      </c>
      <c r="E85" s="4">
        <v>1</v>
      </c>
      <c r="F85" s="4">
        <v>5.9943344686878224E-2</v>
      </c>
      <c r="G85" s="4">
        <v>1185</v>
      </c>
      <c r="H85" s="4">
        <v>31995</v>
      </c>
      <c r="I85" s="4">
        <v>27</v>
      </c>
      <c r="J85" s="134"/>
      <c r="K85" s="18"/>
      <c r="L85" s="18"/>
      <c r="M85" s="18"/>
      <c r="N85">
        <v>533754</v>
      </c>
    </row>
    <row r="86" spans="1:14" x14ac:dyDescent="0.25">
      <c r="A86" s="24"/>
      <c r="B86" s="24"/>
      <c r="C86" s="24" t="s">
        <v>701</v>
      </c>
      <c r="D86" s="2" t="s">
        <v>35</v>
      </c>
      <c r="E86" s="4">
        <v>1</v>
      </c>
      <c r="F86" s="4">
        <v>3.1467679867504504E-2</v>
      </c>
      <c r="G86" s="4">
        <v>494</v>
      </c>
      <c r="H86" s="4">
        <v>16796</v>
      </c>
      <c r="I86" s="4">
        <v>34</v>
      </c>
      <c r="J86" s="134"/>
      <c r="K86" s="18"/>
      <c r="L86" s="18"/>
      <c r="M86" s="18"/>
      <c r="N86">
        <v>533754</v>
      </c>
    </row>
    <row r="87" spans="1:14" x14ac:dyDescent="0.25">
      <c r="A87" s="24"/>
      <c r="B87" s="24"/>
      <c r="C87" s="17"/>
      <c r="D87" s="2" t="s">
        <v>44</v>
      </c>
      <c r="E87" s="4">
        <v>1</v>
      </c>
      <c r="F87" s="4">
        <v>1.9938023883661761E-2</v>
      </c>
      <c r="G87" s="4">
        <v>313</v>
      </c>
      <c r="H87" s="4">
        <v>10642</v>
      </c>
      <c r="I87" s="4">
        <v>34</v>
      </c>
      <c r="J87" s="134"/>
      <c r="K87" s="18"/>
      <c r="L87" s="18"/>
      <c r="M87" s="18"/>
      <c r="N87">
        <v>533754</v>
      </c>
    </row>
    <row r="88" spans="1:14" x14ac:dyDescent="0.25">
      <c r="A88" s="24"/>
      <c r="B88" s="24"/>
      <c r="C88" s="17" t="s">
        <v>844</v>
      </c>
      <c r="D88" s="2" t="s">
        <v>110</v>
      </c>
      <c r="E88" s="4">
        <v>1</v>
      </c>
      <c r="F88" s="4">
        <v>6.7784035342123902E-3</v>
      </c>
      <c r="G88" s="4">
        <v>54</v>
      </c>
      <c r="H88" s="4">
        <v>3618</v>
      </c>
      <c r="I88" s="4">
        <v>67</v>
      </c>
      <c r="J88" s="134"/>
      <c r="K88" s="18"/>
      <c r="L88" s="18"/>
      <c r="M88" s="18"/>
      <c r="N88">
        <v>533754</v>
      </c>
    </row>
    <row r="89" spans="1:14" x14ac:dyDescent="0.25">
      <c r="A89" s="24"/>
      <c r="B89" s="24"/>
      <c r="C89" s="2" t="s">
        <v>377</v>
      </c>
      <c r="D89" s="2" t="s">
        <v>35</v>
      </c>
      <c r="E89" s="4">
        <v>2</v>
      </c>
      <c r="F89" s="4">
        <v>6.397329106667117E-2</v>
      </c>
      <c r="G89" s="4">
        <v>459</v>
      </c>
      <c r="H89" s="4">
        <v>34146</v>
      </c>
      <c r="I89" s="4">
        <v>134</v>
      </c>
      <c r="J89" s="134"/>
      <c r="K89" s="18"/>
      <c r="L89" s="18"/>
      <c r="M89" s="18"/>
      <c r="N89">
        <v>533754</v>
      </c>
    </row>
    <row r="90" spans="1:14" x14ac:dyDescent="0.25">
      <c r="A90" s="24"/>
      <c r="B90" s="24"/>
      <c r="C90" s="2" t="s">
        <v>771</v>
      </c>
      <c r="D90" s="2" t="s">
        <v>36</v>
      </c>
      <c r="E90" s="4">
        <v>1</v>
      </c>
      <c r="F90" s="4">
        <v>0.12953158196472533</v>
      </c>
      <c r="G90" s="4">
        <v>414</v>
      </c>
      <c r="H90" s="4">
        <v>69138</v>
      </c>
      <c r="I90" s="4">
        <v>167</v>
      </c>
      <c r="J90" s="134"/>
      <c r="K90" s="18"/>
      <c r="L90" s="18"/>
      <c r="M90" s="18"/>
      <c r="N90">
        <v>533754</v>
      </c>
    </row>
    <row r="91" spans="1:14" x14ac:dyDescent="0.25">
      <c r="A91" s="24"/>
      <c r="B91" s="24"/>
      <c r="C91" s="23" t="s">
        <v>389</v>
      </c>
      <c r="D91" s="2" t="s">
        <v>35</v>
      </c>
      <c r="E91" s="4">
        <v>2</v>
      </c>
      <c r="F91" s="4">
        <v>9.8286851246079651E-2</v>
      </c>
      <c r="G91" s="4">
        <v>1561</v>
      </c>
      <c r="H91" s="4">
        <v>52461</v>
      </c>
      <c r="I91" s="4">
        <v>67</v>
      </c>
      <c r="J91" s="134"/>
      <c r="K91" s="18"/>
      <c r="L91" s="18"/>
      <c r="M91" s="18"/>
      <c r="N91">
        <v>533754</v>
      </c>
    </row>
    <row r="92" spans="1:14" x14ac:dyDescent="0.25">
      <c r="A92" s="24"/>
      <c r="B92" s="24"/>
      <c r="C92" s="23" t="s">
        <v>754</v>
      </c>
      <c r="D92" s="2" t="s">
        <v>35</v>
      </c>
      <c r="E92" s="4">
        <v>1</v>
      </c>
      <c r="F92" s="4">
        <v>4.2528955286517761E-2</v>
      </c>
      <c r="G92" s="4">
        <v>227</v>
      </c>
      <c r="H92" s="4">
        <v>22700</v>
      </c>
      <c r="I92" s="4">
        <v>100</v>
      </c>
      <c r="J92" s="134"/>
      <c r="K92" s="18"/>
      <c r="L92" s="18"/>
      <c r="M92" s="18"/>
      <c r="N92">
        <v>533754</v>
      </c>
    </row>
    <row r="93" spans="1:14" x14ac:dyDescent="0.25">
      <c r="A93" s="24"/>
      <c r="B93" s="24"/>
      <c r="C93" s="17"/>
      <c r="D93" s="2" t="s">
        <v>36</v>
      </c>
      <c r="E93" s="4">
        <v>1</v>
      </c>
      <c r="F93" s="4">
        <v>1.7049052559793464E-2</v>
      </c>
      <c r="G93" s="4">
        <v>91</v>
      </c>
      <c r="H93" s="4">
        <v>9100</v>
      </c>
      <c r="I93" s="4">
        <v>100</v>
      </c>
      <c r="J93" s="134"/>
      <c r="K93" s="18"/>
      <c r="L93" s="18"/>
      <c r="M93" s="18"/>
      <c r="N93">
        <v>533754</v>
      </c>
    </row>
    <row r="94" spans="1:14" x14ac:dyDescent="0.25">
      <c r="A94" s="24"/>
      <c r="B94" s="24"/>
      <c r="C94" s="17" t="s">
        <v>829</v>
      </c>
      <c r="D94" s="2" t="s">
        <v>36</v>
      </c>
      <c r="E94" s="4">
        <v>1</v>
      </c>
      <c r="F94" s="4">
        <v>3.4993648759540912E-2</v>
      </c>
      <c r="G94" s="4">
        <v>283</v>
      </c>
      <c r="H94" s="4">
        <v>18678</v>
      </c>
      <c r="I94" s="4">
        <v>66</v>
      </c>
      <c r="J94" s="134"/>
      <c r="K94" s="18"/>
      <c r="L94" s="18"/>
      <c r="M94" s="18"/>
      <c r="N94">
        <v>533754</v>
      </c>
    </row>
    <row r="95" spans="1:14" x14ac:dyDescent="0.25">
      <c r="A95" s="24"/>
      <c r="B95" s="17"/>
      <c r="C95" s="2" t="s">
        <v>543</v>
      </c>
      <c r="D95" s="2" t="s">
        <v>36</v>
      </c>
      <c r="E95" s="4">
        <v>1</v>
      </c>
      <c r="F95" s="4">
        <v>4.5063830903374964E-2</v>
      </c>
      <c r="G95" s="4">
        <v>359</v>
      </c>
      <c r="H95" s="4">
        <v>24053</v>
      </c>
      <c r="I95" s="4">
        <v>67</v>
      </c>
      <c r="J95" s="134"/>
      <c r="K95" s="18"/>
      <c r="L95" s="18"/>
      <c r="M95" s="18"/>
      <c r="N95">
        <v>533754</v>
      </c>
    </row>
    <row r="96" spans="1:14" x14ac:dyDescent="0.25">
      <c r="A96" s="24"/>
      <c r="B96" s="89" t="s">
        <v>75</v>
      </c>
      <c r="C96" s="90"/>
      <c r="D96" s="91"/>
      <c r="E96" s="92">
        <v>16</v>
      </c>
      <c r="F96" s="92">
        <v>0.74346421759836934</v>
      </c>
      <c r="G96" s="92">
        <v>6475</v>
      </c>
      <c r="H96" s="92">
        <v>396827</v>
      </c>
      <c r="I96" s="92">
        <v>1163</v>
      </c>
      <c r="J96" s="135">
        <f>GETPIVOTDATA("Usuarios afec",$A$3,"SE","JUY","Circuito",4010)/N96</f>
        <v>2.1789063875867908E-3</v>
      </c>
      <c r="K96" s="103">
        <f>GETPIVOTDATA("Suma de DEMUA",$A$3,"SE","JUY","Circuito",4010)/GETPIVOTDATA("Usuarios afec",$A$3,"SE","JUY","Circuito",4010)</f>
        <v>341.20980223559758</v>
      </c>
      <c r="L96" s="103">
        <f>GETPIVOTDATA("Duracion",$A$3,"SE","JUY","Circuito",4010)/GETPIVOTDATA("NI",$A$3,"SE","JUY","Circuito",4010)</f>
        <v>404.6875</v>
      </c>
      <c r="M96" s="103">
        <f>GETPIVOTDATA("Usuarios afec",$A$3,"SE","JUY","Circuito",4010)/GETPIVOTDATA("NI",$A$3,"SE","JUY","Circuito",4010)</f>
        <v>72.6875</v>
      </c>
      <c r="N96">
        <v>533754</v>
      </c>
    </row>
    <row r="97" spans="1:14" x14ac:dyDescent="0.25">
      <c r="A97" s="24"/>
      <c r="B97" s="2">
        <v>4030</v>
      </c>
      <c r="C97" s="2" t="s">
        <v>455</v>
      </c>
      <c r="D97" s="2" t="s">
        <v>35</v>
      </c>
      <c r="E97" s="4">
        <v>1</v>
      </c>
      <c r="F97" s="4">
        <v>4.9648339871926023E-4</v>
      </c>
      <c r="G97" s="4">
        <v>53</v>
      </c>
      <c r="H97" s="4">
        <v>265</v>
      </c>
      <c r="I97" s="4">
        <v>5</v>
      </c>
      <c r="J97" s="134"/>
      <c r="K97" s="18"/>
      <c r="L97" s="18"/>
      <c r="M97" s="18"/>
      <c r="N97">
        <v>533754</v>
      </c>
    </row>
    <row r="98" spans="1:14" x14ac:dyDescent="0.25">
      <c r="A98" s="24"/>
      <c r="B98" s="89" t="s">
        <v>77</v>
      </c>
      <c r="C98" s="90"/>
      <c r="D98" s="91"/>
      <c r="E98" s="92">
        <v>1</v>
      </c>
      <c r="F98" s="92">
        <v>4.9648339871926023E-4</v>
      </c>
      <c r="G98" s="92">
        <v>53</v>
      </c>
      <c r="H98" s="92">
        <v>265</v>
      </c>
      <c r="I98" s="92">
        <v>5</v>
      </c>
      <c r="J98" s="135">
        <f>GETPIVOTDATA("Usuarios afec",$A$3,"SE","JUY","Circuito",4030)/N98</f>
        <v>9.3676112965898147E-6</v>
      </c>
      <c r="K98" s="103">
        <f>GETPIVOTDATA("Suma de DEMUA",$A$3,"SE","JUY","Circuito",4030)/GETPIVOTDATA("Usuarios afec",$A$3,"SE","JUY","Circuito",4030)</f>
        <v>53</v>
      </c>
      <c r="L98" s="103">
        <f>GETPIVOTDATA("Duracion",$A$3,"SE","JUY","Circuito",4030)/GETPIVOTDATA("NI",$A$3,"SE","JUY","Circuito",4030)</f>
        <v>53</v>
      </c>
      <c r="M98" s="103">
        <f>GETPIVOTDATA("Usuarios afec",$A$3,"SE","JUY","Circuito",4030)/GETPIVOTDATA("NI",$A$3,"SE","JUY","Circuito",4030)</f>
        <v>5</v>
      </c>
      <c r="N98">
        <v>533754</v>
      </c>
    </row>
    <row r="99" spans="1:14" x14ac:dyDescent="0.25">
      <c r="A99" s="24"/>
      <c r="B99" s="2">
        <v>5010</v>
      </c>
      <c r="C99" s="2" t="s">
        <v>867</v>
      </c>
      <c r="D99" s="2" t="s">
        <v>109</v>
      </c>
      <c r="E99" s="4">
        <v>1</v>
      </c>
      <c r="F99" s="4">
        <v>5.2837074757285191E-2</v>
      </c>
      <c r="G99" s="4">
        <v>239</v>
      </c>
      <c r="H99" s="4">
        <v>28202</v>
      </c>
      <c r="I99" s="4">
        <v>118</v>
      </c>
      <c r="J99" s="134"/>
      <c r="K99" s="18"/>
      <c r="L99" s="18"/>
      <c r="M99" s="18"/>
      <c r="N99">
        <v>533754</v>
      </c>
    </row>
    <row r="100" spans="1:14" x14ac:dyDescent="0.25">
      <c r="A100" s="17"/>
      <c r="B100" s="89" t="s">
        <v>1010</v>
      </c>
      <c r="C100" s="90"/>
      <c r="D100" s="91"/>
      <c r="E100" s="92">
        <v>1</v>
      </c>
      <c r="F100" s="92">
        <v>5.2837074757285191E-2</v>
      </c>
      <c r="G100" s="92">
        <v>239</v>
      </c>
      <c r="H100" s="92">
        <v>28202</v>
      </c>
      <c r="I100" s="92">
        <v>118</v>
      </c>
      <c r="J100" s="135">
        <f>GETPIVOTDATA("Usuarios afec",$A$3,"SE","JUY","Circuito",5010)/N100</f>
        <v>2.2107562659951963E-4</v>
      </c>
      <c r="K100" s="103">
        <f>GETPIVOTDATA("Suma de DEMUA",$A$3,"SE","JUY","Circuito",5010)/GETPIVOTDATA("Usuarios afec",$A$3,"SE","JUY","Circuito",5010)</f>
        <v>239</v>
      </c>
      <c r="L100" s="103">
        <f>GETPIVOTDATA("Duracion",$A$3,"SE","JUY","Circuito",5010)/GETPIVOTDATA("NI",$A$3,"SE","JUY","Circuito",5010)</f>
        <v>239</v>
      </c>
      <c r="M100" s="103">
        <f>GETPIVOTDATA("Usuarios afec",$A$3,"SE","JUY","Circuito",5010)/GETPIVOTDATA("NI",$A$3,"SE","JUY","Circuito",5010)</f>
        <v>118</v>
      </c>
      <c r="N100">
        <v>533754</v>
      </c>
    </row>
    <row r="101" spans="1:14" x14ac:dyDescent="0.25">
      <c r="A101" s="95" t="s">
        <v>1018</v>
      </c>
      <c r="B101" s="96"/>
      <c r="C101" s="96"/>
      <c r="D101" s="97"/>
      <c r="E101" s="98">
        <v>18</v>
      </c>
      <c r="F101" s="98">
        <v>0.79679777575437372</v>
      </c>
      <c r="G101" s="98">
        <v>6767</v>
      </c>
      <c r="H101" s="98">
        <v>425294</v>
      </c>
      <c r="I101" s="98">
        <v>1286</v>
      </c>
      <c r="J101" s="139">
        <f>GETPIVOTDATA("Usuarios afec",$A$3,"SE","JUY")/N101</f>
        <v>2.4093496254829001E-3</v>
      </c>
      <c r="K101" s="104">
        <f>GETPIVOTDATA("Suma de DEMUA",$A$3,"SE","JUY")/GETPIVOTDATA("Usuarios afec",$A$3,"SE","JUY")</f>
        <v>330.71073094867808</v>
      </c>
      <c r="L101" s="104">
        <f>GETPIVOTDATA("Duracion",$A$3,"SE","JUY")/GETPIVOTDATA("NI",$A$3,"SE","JUY")</f>
        <v>375.94444444444446</v>
      </c>
      <c r="M101" s="104">
        <f>GETPIVOTDATA("Usuarios afec",$A$3,"SE","JUY")/GETPIVOTDATA("NI",$A$3,"SE","JUY")</f>
        <v>71.444444444444443</v>
      </c>
      <c r="N101">
        <v>533754</v>
      </c>
    </row>
    <row r="102" spans="1:14" x14ac:dyDescent="0.25">
      <c r="A102" s="23" t="s">
        <v>324</v>
      </c>
      <c r="B102" s="51">
        <v>4010</v>
      </c>
      <c r="C102" s="79" t="s">
        <v>358</v>
      </c>
      <c r="D102" s="79" t="s">
        <v>36</v>
      </c>
      <c r="E102" s="4">
        <v>1</v>
      </c>
      <c r="F102" s="4">
        <v>2.2875706786272328E-2</v>
      </c>
      <c r="G102" s="4">
        <v>66</v>
      </c>
      <c r="H102" s="4">
        <v>12210</v>
      </c>
      <c r="I102" s="4">
        <v>185</v>
      </c>
      <c r="J102" s="134"/>
      <c r="K102" s="18"/>
      <c r="L102" s="18"/>
      <c r="M102" s="18"/>
      <c r="N102">
        <v>533754</v>
      </c>
    </row>
    <row r="103" spans="1:14" x14ac:dyDescent="0.25">
      <c r="A103" s="24"/>
      <c r="B103" s="51"/>
      <c r="C103" s="25" t="s">
        <v>510</v>
      </c>
      <c r="D103" s="79" t="s">
        <v>107</v>
      </c>
      <c r="E103" s="4">
        <v>1</v>
      </c>
      <c r="F103" s="4">
        <v>1.1465956227025934E-2</v>
      </c>
      <c r="G103" s="4">
        <v>60</v>
      </c>
      <c r="H103" s="4">
        <v>6120</v>
      </c>
      <c r="I103" s="4">
        <v>102</v>
      </c>
      <c r="J103" s="134"/>
      <c r="K103" s="18"/>
      <c r="L103" s="18"/>
      <c r="M103" s="18"/>
      <c r="N103">
        <v>533754</v>
      </c>
    </row>
    <row r="104" spans="1:14" x14ac:dyDescent="0.25">
      <c r="A104" s="24"/>
      <c r="B104" s="51"/>
      <c r="C104" s="25" t="s">
        <v>674</v>
      </c>
      <c r="D104" s="79" t="s">
        <v>36</v>
      </c>
      <c r="E104" s="4">
        <v>1</v>
      </c>
      <c r="F104" s="4">
        <v>3.3948223338841489E-2</v>
      </c>
      <c r="G104" s="4">
        <v>302</v>
      </c>
      <c r="H104" s="4">
        <v>18120</v>
      </c>
      <c r="I104" s="4">
        <v>60</v>
      </c>
      <c r="J104" s="134"/>
      <c r="K104" s="18"/>
      <c r="L104" s="18"/>
      <c r="M104" s="18"/>
      <c r="N104">
        <v>533754</v>
      </c>
    </row>
    <row r="105" spans="1:14" x14ac:dyDescent="0.25">
      <c r="A105" s="24"/>
      <c r="B105" s="51"/>
      <c r="C105" s="25" t="s">
        <v>999</v>
      </c>
      <c r="D105" s="79" t="s">
        <v>36</v>
      </c>
      <c r="E105" s="4">
        <v>1</v>
      </c>
      <c r="F105" s="4">
        <v>1.4426121396748316E-4</v>
      </c>
      <c r="G105" s="4">
        <v>77</v>
      </c>
      <c r="H105" s="4">
        <v>77</v>
      </c>
      <c r="I105" s="4">
        <v>1</v>
      </c>
      <c r="J105" s="134"/>
      <c r="K105" s="18"/>
      <c r="L105" s="18"/>
      <c r="M105" s="18"/>
      <c r="N105">
        <v>533754</v>
      </c>
    </row>
    <row r="106" spans="1:14" x14ac:dyDescent="0.25">
      <c r="A106" s="24"/>
      <c r="B106" s="80" t="s">
        <v>75</v>
      </c>
      <c r="C106" s="80"/>
      <c r="D106" s="80"/>
      <c r="E106" s="92">
        <v>4</v>
      </c>
      <c r="F106" s="92">
        <v>6.8434147566107245E-2</v>
      </c>
      <c r="G106" s="92">
        <v>505</v>
      </c>
      <c r="H106" s="92">
        <v>36527</v>
      </c>
      <c r="I106" s="92">
        <v>348</v>
      </c>
      <c r="J106" s="135">
        <f>GETPIVOTDATA("Usuarios afec",$A$3,"SE","VFD","Circuito",4010)/N106</f>
        <v>6.5198574624265111E-4</v>
      </c>
      <c r="K106" s="103">
        <f>GETPIVOTDATA("Suma de DEMUA",$A$3,"SE","VFD","Circuito",4010)/GETPIVOTDATA("Usuarios afec",$A$3,"SE","VFD","Circuito",4010)</f>
        <v>104.96264367816092</v>
      </c>
      <c r="L106" s="103">
        <f>GETPIVOTDATA("Duracion",$A$3,"SE","VFD","Circuito",4010)/GETPIVOTDATA("NI",$A$3,"SE","VFD","Circuito",4010)</f>
        <v>126.25</v>
      </c>
      <c r="M106" s="103">
        <f>GETPIVOTDATA("Usuarios afec",$A$3,"SE","VFD","Circuito",4010)/GETPIVOTDATA("NI",$A$3,"SE","VFD","Circuito",4010)</f>
        <v>87</v>
      </c>
      <c r="N106">
        <v>533754</v>
      </c>
    </row>
    <row r="107" spans="1:14" x14ac:dyDescent="0.25">
      <c r="A107" s="24"/>
      <c r="B107" s="51">
        <v>4020</v>
      </c>
      <c r="C107" s="25" t="s">
        <v>495</v>
      </c>
      <c r="D107" s="25" t="s">
        <v>109</v>
      </c>
      <c r="E107" s="4">
        <v>1</v>
      </c>
      <c r="F107" s="4">
        <v>2.3493969131847255E-2</v>
      </c>
      <c r="G107" s="4">
        <v>209</v>
      </c>
      <c r="H107" s="4">
        <v>12540</v>
      </c>
      <c r="I107" s="4">
        <v>60</v>
      </c>
      <c r="J107" s="134"/>
      <c r="K107" s="18"/>
      <c r="L107" s="18"/>
      <c r="M107" s="18"/>
      <c r="N107">
        <v>533754</v>
      </c>
    </row>
    <row r="108" spans="1:14" x14ac:dyDescent="0.25">
      <c r="A108" s="24"/>
      <c r="B108" s="51"/>
      <c r="C108" s="25"/>
      <c r="D108" s="25" t="s">
        <v>36</v>
      </c>
      <c r="E108" s="4">
        <v>2</v>
      </c>
      <c r="F108" s="4">
        <v>2.2382970432071703E-2</v>
      </c>
      <c r="G108" s="4">
        <v>201</v>
      </c>
      <c r="H108" s="4">
        <v>11947</v>
      </c>
      <c r="I108" s="4">
        <v>119</v>
      </c>
      <c r="J108" s="134"/>
      <c r="K108" s="18"/>
      <c r="L108" s="18"/>
      <c r="M108" s="18"/>
      <c r="N108">
        <v>533754</v>
      </c>
    </row>
    <row r="109" spans="1:14" x14ac:dyDescent="0.25">
      <c r="A109" s="24"/>
      <c r="B109" s="51"/>
      <c r="C109" s="25" t="s">
        <v>513</v>
      </c>
      <c r="D109" s="25" t="s">
        <v>35</v>
      </c>
      <c r="E109" s="4">
        <v>1</v>
      </c>
      <c r="F109" s="4">
        <v>2.5629784507469732E-2</v>
      </c>
      <c r="G109" s="4">
        <v>171</v>
      </c>
      <c r="H109" s="4">
        <v>13680</v>
      </c>
      <c r="I109" s="4">
        <v>80</v>
      </c>
      <c r="J109" s="134"/>
      <c r="K109" s="18"/>
      <c r="L109" s="18"/>
      <c r="M109" s="18"/>
      <c r="N109">
        <v>533754</v>
      </c>
    </row>
    <row r="110" spans="1:14" x14ac:dyDescent="0.25">
      <c r="A110" s="24"/>
      <c r="B110" s="51"/>
      <c r="C110" s="25" t="s">
        <v>574</v>
      </c>
      <c r="D110" s="25" t="s">
        <v>321</v>
      </c>
      <c r="E110" s="4">
        <v>1</v>
      </c>
      <c r="F110" s="4">
        <v>9.3526231185152714E-3</v>
      </c>
      <c r="G110" s="4">
        <v>48</v>
      </c>
      <c r="H110" s="4">
        <v>4992</v>
      </c>
      <c r="I110" s="4">
        <v>104</v>
      </c>
      <c r="J110" s="134"/>
      <c r="K110" s="18"/>
      <c r="L110" s="18"/>
      <c r="M110" s="18"/>
      <c r="N110">
        <v>533754</v>
      </c>
    </row>
    <row r="111" spans="1:14" x14ac:dyDescent="0.25">
      <c r="A111" s="24"/>
      <c r="B111" s="51"/>
      <c r="C111" s="25"/>
      <c r="D111" s="25" t="s">
        <v>36</v>
      </c>
      <c r="E111" s="4">
        <v>1</v>
      </c>
      <c r="F111" s="4">
        <v>5.0751844482664302E-2</v>
      </c>
      <c r="G111" s="4">
        <v>263</v>
      </c>
      <c r="H111" s="4">
        <v>27089</v>
      </c>
      <c r="I111" s="4">
        <v>103</v>
      </c>
      <c r="J111" s="134"/>
      <c r="K111" s="18"/>
      <c r="L111" s="18"/>
      <c r="M111" s="18"/>
      <c r="N111">
        <v>533754</v>
      </c>
    </row>
    <row r="112" spans="1:14" x14ac:dyDescent="0.25">
      <c r="A112" s="24"/>
      <c r="B112" s="51"/>
      <c r="C112" s="25" t="s">
        <v>795</v>
      </c>
      <c r="D112" s="25" t="s">
        <v>36</v>
      </c>
      <c r="E112" s="4">
        <v>2</v>
      </c>
      <c r="F112" s="4">
        <v>1.9784395058397689E-2</v>
      </c>
      <c r="G112" s="4">
        <v>165</v>
      </c>
      <c r="H112" s="4">
        <v>10560</v>
      </c>
      <c r="I112" s="4">
        <v>128</v>
      </c>
      <c r="J112" s="134"/>
      <c r="K112" s="18"/>
      <c r="L112" s="18"/>
      <c r="M112" s="18"/>
      <c r="N112">
        <v>533754</v>
      </c>
    </row>
    <row r="113" spans="1:14" x14ac:dyDescent="0.25">
      <c r="A113" s="24"/>
      <c r="B113" s="80" t="s">
        <v>76</v>
      </c>
      <c r="C113" s="80"/>
      <c r="D113" s="80"/>
      <c r="E113" s="92">
        <v>8</v>
      </c>
      <c r="F113" s="92">
        <v>0.15139558673096595</v>
      </c>
      <c r="G113" s="92">
        <v>1057</v>
      </c>
      <c r="H113" s="92">
        <v>80808</v>
      </c>
      <c r="I113" s="92">
        <v>594</v>
      </c>
      <c r="J113" s="135">
        <f>GETPIVOTDATA("Usuarios afec",$A$3,"SE","VFD","Circuito",4020)/N113</f>
        <v>1.1128722220348701E-3</v>
      </c>
      <c r="K113" s="103">
        <f>GETPIVOTDATA("Suma de DEMUA",$A$3,"SE","VFD","Circuito",4020)/GETPIVOTDATA("Usuarios afec",$A$3,"SE","VFD","Circuito",4020)</f>
        <v>136.04040404040404</v>
      </c>
      <c r="L113" s="103">
        <f>GETPIVOTDATA("Duracion",$A$3,"SE","VFD","Circuito",4020)/GETPIVOTDATA("NI",$A$3,"SE","VFD","Circuito",4020)</f>
        <v>132.125</v>
      </c>
      <c r="M113" s="103">
        <f>GETPIVOTDATA("Usuarios afec",$A$3,"SE","VFD","Circuito",4020)/GETPIVOTDATA("NI",$A$3,"SE","VFD","Circuito",4020)</f>
        <v>74.25</v>
      </c>
      <c r="N113">
        <v>533754</v>
      </c>
    </row>
    <row r="114" spans="1:14" x14ac:dyDescent="0.25">
      <c r="A114" s="24"/>
      <c r="B114" s="51">
        <v>4030</v>
      </c>
      <c r="C114" s="25" t="s">
        <v>326</v>
      </c>
      <c r="D114" s="25" t="s">
        <v>35</v>
      </c>
      <c r="E114" s="4">
        <v>1</v>
      </c>
      <c r="F114" s="4">
        <v>3.1542620757877227E-2</v>
      </c>
      <c r="G114" s="4">
        <v>92</v>
      </c>
      <c r="H114" s="4">
        <v>16836</v>
      </c>
      <c r="I114" s="4">
        <v>183</v>
      </c>
      <c r="J114" s="134"/>
      <c r="K114" s="18"/>
      <c r="L114" s="18"/>
      <c r="M114" s="18"/>
      <c r="N114">
        <v>533754</v>
      </c>
    </row>
    <row r="115" spans="1:14" x14ac:dyDescent="0.25">
      <c r="A115" s="24"/>
      <c r="B115" s="51"/>
      <c r="C115" s="25"/>
      <c r="D115" s="25" t="s">
        <v>36</v>
      </c>
      <c r="E115" s="4">
        <v>1</v>
      </c>
      <c r="F115" s="4">
        <v>3.4684517586753449E-2</v>
      </c>
      <c r="G115" s="4">
        <v>153</v>
      </c>
      <c r="H115" s="4">
        <v>18513</v>
      </c>
      <c r="I115" s="4">
        <v>121</v>
      </c>
      <c r="J115" s="134"/>
      <c r="K115" s="18"/>
      <c r="L115" s="18"/>
      <c r="M115" s="18"/>
      <c r="N115">
        <v>533754</v>
      </c>
    </row>
    <row r="116" spans="1:14" x14ac:dyDescent="0.25">
      <c r="A116" s="24"/>
      <c r="B116" s="51"/>
      <c r="C116" s="25" t="s">
        <v>349</v>
      </c>
      <c r="D116" s="25" t="s">
        <v>36</v>
      </c>
      <c r="E116" s="4">
        <v>1</v>
      </c>
      <c r="F116" s="4">
        <v>0.12990253937207027</v>
      </c>
      <c r="G116" s="4">
        <v>428</v>
      </c>
      <c r="H116" s="4">
        <v>69336</v>
      </c>
      <c r="I116" s="4">
        <v>162</v>
      </c>
      <c r="J116" s="134"/>
      <c r="K116" s="18"/>
      <c r="L116" s="18"/>
      <c r="M116" s="18"/>
      <c r="N116">
        <v>533754</v>
      </c>
    </row>
    <row r="117" spans="1:14" x14ac:dyDescent="0.25">
      <c r="A117" s="24"/>
      <c r="B117" s="51"/>
      <c r="C117" s="25" t="s">
        <v>437</v>
      </c>
      <c r="D117" s="25" t="s">
        <v>36</v>
      </c>
      <c r="E117" s="4">
        <v>1</v>
      </c>
      <c r="F117" s="4">
        <v>4.5492867500758774E-2</v>
      </c>
      <c r="G117" s="4">
        <v>171</v>
      </c>
      <c r="H117" s="4">
        <v>24282</v>
      </c>
      <c r="I117" s="4">
        <v>142</v>
      </c>
      <c r="J117" s="134"/>
      <c r="K117" s="18"/>
      <c r="L117" s="18"/>
      <c r="M117" s="18"/>
      <c r="N117">
        <v>533754</v>
      </c>
    </row>
    <row r="118" spans="1:14" x14ac:dyDescent="0.25">
      <c r="A118" s="24"/>
      <c r="B118" s="51"/>
      <c r="C118" s="25" t="s">
        <v>789</v>
      </c>
      <c r="D118" s="25" t="s">
        <v>35</v>
      </c>
      <c r="E118" s="4">
        <v>1</v>
      </c>
      <c r="F118" s="4">
        <v>8.7765150237749973E-2</v>
      </c>
      <c r="G118" s="4">
        <v>347</v>
      </c>
      <c r="H118" s="4">
        <v>46845</v>
      </c>
      <c r="I118" s="4">
        <v>135</v>
      </c>
      <c r="J118" s="134"/>
      <c r="K118" s="18"/>
      <c r="L118" s="18"/>
      <c r="M118" s="18"/>
      <c r="N118">
        <v>533754</v>
      </c>
    </row>
    <row r="119" spans="1:14" x14ac:dyDescent="0.25">
      <c r="A119" s="24"/>
      <c r="B119" s="51"/>
      <c r="C119" s="25" t="s">
        <v>894</v>
      </c>
      <c r="D119" s="25" t="s">
        <v>1026</v>
      </c>
      <c r="E119" s="4">
        <v>1</v>
      </c>
      <c r="F119" s="4">
        <v>6.2013586783424572E-4</v>
      </c>
      <c r="G119" s="4">
        <v>331</v>
      </c>
      <c r="H119" s="4">
        <v>331</v>
      </c>
      <c r="I119" s="4">
        <v>1</v>
      </c>
      <c r="J119" s="134"/>
      <c r="K119" s="18"/>
      <c r="L119" s="18"/>
      <c r="M119" s="18"/>
      <c r="N119">
        <v>533754</v>
      </c>
    </row>
    <row r="120" spans="1:14" x14ac:dyDescent="0.25">
      <c r="A120" s="24"/>
      <c r="B120" s="80" t="s">
        <v>77</v>
      </c>
      <c r="C120" s="80"/>
      <c r="D120" s="80"/>
      <c r="E120" s="92">
        <v>6</v>
      </c>
      <c r="F120" s="92">
        <v>0.33000783132304401</v>
      </c>
      <c r="G120" s="92">
        <v>1522</v>
      </c>
      <c r="H120" s="92">
        <v>176143</v>
      </c>
      <c r="I120" s="92">
        <v>744</v>
      </c>
      <c r="J120" s="135">
        <f>GETPIVOTDATA("Usuarios afec",$A$3,"SE","VFD","Circuito",4030)/N120</f>
        <v>1.3939005609325645E-3</v>
      </c>
      <c r="K120" s="103">
        <f>GETPIVOTDATA("Suma de DEMUA",$A$3,"SE","VFD","Circuito",4030)/GETPIVOTDATA("Usuarios afec",$A$3,"SE","VFD","Circuito",4030)</f>
        <v>236.7513440860215</v>
      </c>
      <c r="L120" s="103">
        <f>GETPIVOTDATA("Duracion",$A$3,"SE","VFD","Circuito",4030)/GETPIVOTDATA("NI",$A$3,"SE","VFD","Circuito",4030)</f>
        <v>253.66666666666666</v>
      </c>
      <c r="M120" s="103">
        <f>GETPIVOTDATA("Usuarios afec",$A$3,"SE","VFD","Circuito",4030)/GETPIVOTDATA("NI",$A$3,"SE","VFD","Circuito",4030)</f>
        <v>124</v>
      </c>
      <c r="N120">
        <v>533754</v>
      </c>
    </row>
    <row r="121" spans="1:14" x14ac:dyDescent="0.25">
      <c r="A121" s="24"/>
      <c r="B121" s="51">
        <v>4050</v>
      </c>
      <c r="C121" s="25" t="s">
        <v>485</v>
      </c>
      <c r="D121" s="25" t="s">
        <v>36</v>
      </c>
      <c r="E121" s="4">
        <v>1</v>
      </c>
      <c r="F121" s="4">
        <v>2.6229311630451483E-3</v>
      </c>
      <c r="G121" s="4">
        <v>175</v>
      </c>
      <c r="H121" s="4">
        <v>1400</v>
      </c>
      <c r="I121" s="4">
        <v>8</v>
      </c>
      <c r="J121" s="134"/>
      <c r="K121" s="18"/>
      <c r="L121" s="18"/>
      <c r="M121" s="18"/>
      <c r="N121">
        <v>533754</v>
      </c>
    </row>
    <row r="122" spans="1:14" x14ac:dyDescent="0.25">
      <c r="A122" s="24"/>
      <c r="B122" s="51"/>
      <c r="C122" s="25" t="s">
        <v>735</v>
      </c>
      <c r="D122" s="25" t="s">
        <v>36</v>
      </c>
      <c r="E122" s="4">
        <v>1</v>
      </c>
      <c r="F122" s="4">
        <v>4.3248387834095854E-2</v>
      </c>
      <c r="G122" s="4">
        <v>199</v>
      </c>
      <c r="H122" s="4">
        <v>23084</v>
      </c>
      <c r="I122" s="4">
        <v>116</v>
      </c>
      <c r="J122" s="134"/>
      <c r="K122" s="18"/>
      <c r="L122" s="18"/>
      <c r="M122" s="18"/>
      <c r="N122">
        <v>533754</v>
      </c>
    </row>
    <row r="123" spans="1:14" x14ac:dyDescent="0.25">
      <c r="A123" s="24"/>
      <c r="B123" s="51"/>
      <c r="C123" s="25" t="s">
        <v>885</v>
      </c>
      <c r="D123" s="25" t="s">
        <v>44</v>
      </c>
      <c r="E123" s="4">
        <v>1</v>
      </c>
      <c r="F123" s="4">
        <v>2.6463501912866227E-2</v>
      </c>
      <c r="G123" s="4">
        <v>113</v>
      </c>
      <c r="H123" s="4">
        <v>14125</v>
      </c>
      <c r="I123" s="4">
        <v>125</v>
      </c>
      <c r="J123" s="134"/>
      <c r="K123" s="18"/>
      <c r="L123" s="18"/>
      <c r="M123" s="18"/>
      <c r="N123">
        <v>533754</v>
      </c>
    </row>
    <row r="124" spans="1:14" x14ac:dyDescent="0.25">
      <c r="A124" s="24"/>
      <c r="B124" s="80" t="s">
        <v>312</v>
      </c>
      <c r="C124" s="80"/>
      <c r="D124" s="80"/>
      <c r="E124" s="92">
        <v>3</v>
      </c>
      <c r="F124" s="92">
        <v>7.233482091000723E-2</v>
      </c>
      <c r="G124" s="92">
        <v>487</v>
      </c>
      <c r="H124" s="92">
        <v>38609</v>
      </c>
      <c r="I124" s="92">
        <v>249</v>
      </c>
      <c r="J124" s="135">
        <f>GETPIVOTDATA("Usuarios afec",$A$3,"SE","VFD","Circuito",4050)/N124</f>
        <v>4.6650704257017277E-4</v>
      </c>
      <c r="K124" s="103">
        <f>GETPIVOTDATA("Suma de DEMUA",$A$3,"SE","VFD","Circuito",4050)/GETPIVOTDATA("Usuarios afec",$A$3,"SE","VFD","Circuito",4050)</f>
        <v>155.05622489959839</v>
      </c>
      <c r="L124" s="103">
        <f>GETPIVOTDATA("Duracion",$A$3,"SE","VFD","Circuito",4050)/GETPIVOTDATA("NI",$A$3,"SE","VFD","Circuito",4050)</f>
        <v>162.33333333333334</v>
      </c>
      <c r="M124" s="103">
        <f>GETPIVOTDATA("Usuarios afec",$A$3,"SE","VFD","Circuito",4050)/GETPIVOTDATA("NI",$A$3,"SE","VFD","Circuito",4050)</f>
        <v>83</v>
      </c>
      <c r="N124">
        <v>533754</v>
      </c>
    </row>
    <row r="125" spans="1:14" x14ac:dyDescent="0.25">
      <c r="A125" s="24"/>
      <c r="B125" s="51">
        <v>4040</v>
      </c>
      <c r="C125" s="51" t="s">
        <v>619</v>
      </c>
      <c r="D125" s="51" t="s">
        <v>36</v>
      </c>
      <c r="E125" s="4">
        <v>1</v>
      </c>
      <c r="F125" s="4">
        <v>4.1966898608722374E-2</v>
      </c>
      <c r="G125" s="4">
        <v>175</v>
      </c>
      <c r="H125" s="4">
        <v>22400</v>
      </c>
      <c r="I125" s="4">
        <v>128</v>
      </c>
      <c r="J125" s="134"/>
      <c r="K125" s="18"/>
      <c r="L125" s="18"/>
      <c r="M125" s="18"/>
      <c r="N125">
        <v>533754</v>
      </c>
    </row>
    <row r="126" spans="1:14" x14ac:dyDescent="0.25">
      <c r="A126" s="17"/>
      <c r="B126" s="80" t="s">
        <v>313</v>
      </c>
      <c r="C126" s="80"/>
      <c r="D126" s="80"/>
      <c r="E126" s="92">
        <v>1</v>
      </c>
      <c r="F126" s="92">
        <v>4.1966898608722374E-2</v>
      </c>
      <c r="G126" s="92">
        <v>175</v>
      </c>
      <c r="H126" s="92">
        <v>22400</v>
      </c>
      <c r="I126" s="92">
        <v>128</v>
      </c>
      <c r="J126" s="135">
        <f>GETPIVOTDATA("Usuarios afec",$A$3,"SE","VFD","Circuito",4040)/N126</f>
        <v>2.3981084919269926E-4</v>
      </c>
      <c r="K126" s="103">
        <f>GETPIVOTDATA("Suma de DEMUA",$A$3,"SE","VFD","Circuito",4040)/GETPIVOTDATA("Usuarios afec",$A$3,"SE","VFD","Circuito",4040)</f>
        <v>175</v>
      </c>
      <c r="L126" s="103">
        <f>GETPIVOTDATA("Duracion",$A$3,"SE","VFD","Circuito",4040)/GETPIVOTDATA("NI",$A$3,"SE","VFD","Circuito",4040)</f>
        <v>175</v>
      </c>
      <c r="M126" s="103">
        <f>GETPIVOTDATA("Usuarios afec",$A$3,"SE","VFD","Circuito",4040)/GETPIVOTDATA("NI",$A$3,"SE","VFD","Circuito",4040)</f>
        <v>128</v>
      </c>
      <c r="N126">
        <v>533754</v>
      </c>
    </row>
    <row r="127" spans="1:14" x14ac:dyDescent="0.25">
      <c r="A127" s="95" t="s">
        <v>1027</v>
      </c>
      <c r="B127" s="96"/>
      <c r="C127" s="96"/>
      <c r="D127" s="97"/>
      <c r="E127" s="98">
        <v>22</v>
      </c>
      <c r="F127" s="98">
        <v>0.6641392851388469</v>
      </c>
      <c r="G127" s="98">
        <v>3746</v>
      </c>
      <c r="H127" s="98">
        <v>354487</v>
      </c>
      <c r="I127" s="98">
        <v>2063</v>
      </c>
      <c r="J127" s="139">
        <f>GETPIVOTDATA("Usuarios afec",$A$3,"SE","VFD")/N127</f>
        <v>3.8650764209729577E-3</v>
      </c>
      <c r="K127" s="104">
        <f>GETPIVOTDATA("Suma de DEMUA",$A$3,"SE","VFD")/GETPIVOTDATA("Usuarios afec",$A$3,"SE","VFD")</f>
        <v>171.83082888996606</v>
      </c>
      <c r="L127" s="104">
        <f>GETPIVOTDATA("Duracion",$A$3,"SE","VFD")/GETPIVOTDATA("NI",$A$3,"SE","VFD")</f>
        <v>170.27272727272728</v>
      </c>
      <c r="M127" s="104">
        <f>GETPIVOTDATA("Usuarios afec",$A$3,"SE","VFD")/GETPIVOTDATA("NI",$A$3,"SE","VFD")</f>
        <v>93.772727272727266</v>
      </c>
      <c r="N127">
        <v>533754</v>
      </c>
    </row>
    <row r="128" spans="1:14" x14ac:dyDescent="0.25">
      <c r="A128" s="23" t="s">
        <v>397</v>
      </c>
      <c r="B128" s="51">
        <v>4015</v>
      </c>
      <c r="C128" s="79" t="s">
        <v>535</v>
      </c>
      <c r="D128" s="79" t="s">
        <v>107</v>
      </c>
      <c r="E128" s="4">
        <v>1</v>
      </c>
      <c r="F128" s="4">
        <v>8.5402638668750017E-2</v>
      </c>
      <c r="G128" s="4">
        <v>407</v>
      </c>
      <c r="H128" s="4">
        <v>45584</v>
      </c>
      <c r="I128" s="4">
        <v>112</v>
      </c>
      <c r="J128" s="134"/>
      <c r="K128" s="18"/>
      <c r="L128" s="18"/>
      <c r="M128" s="18"/>
      <c r="N128">
        <v>533754</v>
      </c>
    </row>
    <row r="129" spans="1:14" x14ac:dyDescent="0.25">
      <c r="A129" s="24"/>
      <c r="B129" s="51"/>
      <c r="C129" s="25" t="s">
        <v>644</v>
      </c>
      <c r="D129" s="79" t="s">
        <v>36</v>
      </c>
      <c r="E129" s="4">
        <v>1</v>
      </c>
      <c r="F129" s="4">
        <v>9.3338878959220908E-3</v>
      </c>
      <c r="G129" s="4">
        <v>94</v>
      </c>
      <c r="H129" s="4">
        <v>4982</v>
      </c>
      <c r="I129" s="4">
        <v>53</v>
      </c>
      <c r="J129" s="134"/>
      <c r="K129" s="18"/>
      <c r="L129" s="18"/>
      <c r="M129" s="18"/>
      <c r="N129">
        <v>533754</v>
      </c>
    </row>
    <row r="130" spans="1:14" x14ac:dyDescent="0.25">
      <c r="A130" s="24"/>
      <c r="B130" s="51"/>
      <c r="C130" s="25" t="s">
        <v>809</v>
      </c>
      <c r="D130" s="79" t="s">
        <v>35</v>
      </c>
      <c r="E130" s="4">
        <v>1</v>
      </c>
      <c r="F130" s="4">
        <v>8.8808702136190076E-2</v>
      </c>
      <c r="G130" s="4">
        <v>346</v>
      </c>
      <c r="H130" s="4">
        <v>47402</v>
      </c>
      <c r="I130" s="4">
        <v>137</v>
      </c>
      <c r="J130" s="134"/>
      <c r="K130" s="18"/>
      <c r="L130" s="18"/>
      <c r="M130" s="18"/>
      <c r="N130">
        <v>533754</v>
      </c>
    </row>
    <row r="131" spans="1:14" x14ac:dyDescent="0.25">
      <c r="A131" s="24"/>
      <c r="B131" s="51"/>
      <c r="C131" s="25" t="s">
        <v>944</v>
      </c>
      <c r="D131" s="79" t="s">
        <v>107</v>
      </c>
      <c r="E131" s="4">
        <v>1</v>
      </c>
      <c r="F131" s="4">
        <v>3.093185250133957E-2</v>
      </c>
      <c r="G131" s="4">
        <v>127</v>
      </c>
      <c r="H131" s="4">
        <v>16510</v>
      </c>
      <c r="I131" s="4">
        <v>130</v>
      </c>
      <c r="J131" s="134"/>
      <c r="K131" s="18"/>
      <c r="L131" s="18"/>
      <c r="M131" s="18"/>
      <c r="N131">
        <v>533754</v>
      </c>
    </row>
    <row r="132" spans="1:14" x14ac:dyDescent="0.25">
      <c r="A132" s="24"/>
      <c r="B132" s="80" t="s">
        <v>73</v>
      </c>
      <c r="C132" s="80"/>
      <c r="D132" s="80"/>
      <c r="E132" s="92">
        <v>4</v>
      </c>
      <c r="F132" s="92">
        <v>0.21447708120220174</v>
      </c>
      <c r="G132" s="92">
        <v>974</v>
      </c>
      <c r="H132" s="92">
        <v>114478</v>
      </c>
      <c r="I132" s="92">
        <v>432</v>
      </c>
      <c r="J132" s="135">
        <f>GETPIVOTDATA("Usuarios afec",$A$3,"SE","RDB","Circuito",4015)/N132</f>
        <v>8.0936161602536004E-4</v>
      </c>
      <c r="K132" s="103">
        <f>GETPIVOTDATA("Suma de DEMUA",$A$3,"SE","RDB","Circuito",4015)/GETPIVOTDATA("Usuarios afec",$A$3,"SE","RDB","Circuito",4015)</f>
        <v>264.99537037037038</v>
      </c>
      <c r="L132" s="103">
        <f>GETPIVOTDATA("Duracion",$A$3,"SE","RDB","Circuito",4015)/GETPIVOTDATA("NI",$A$3,"SE","RDB","Circuito",4015)</f>
        <v>243.5</v>
      </c>
      <c r="M132" s="103">
        <f>GETPIVOTDATA("Usuarios afec",$A$3,"SE","RDB","Circuito",4015)/GETPIVOTDATA("NI",$A$3,"SE","RDB","Circuito",4015)</f>
        <v>108</v>
      </c>
      <c r="N132">
        <v>533754</v>
      </c>
    </row>
    <row r="133" spans="1:14" x14ac:dyDescent="0.25">
      <c r="A133" s="24"/>
      <c r="B133" s="23">
        <v>4035</v>
      </c>
      <c r="C133" s="2" t="s">
        <v>399</v>
      </c>
      <c r="D133" s="2" t="s">
        <v>35</v>
      </c>
      <c r="E133" s="4">
        <v>1</v>
      </c>
      <c r="F133" s="4">
        <v>2.3006853344424587E-2</v>
      </c>
      <c r="G133" s="4">
        <v>307</v>
      </c>
      <c r="H133" s="4">
        <v>12280</v>
      </c>
      <c r="I133" s="4">
        <v>40</v>
      </c>
      <c r="J133" s="134"/>
      <c r="K133" s="18"/>
      <c r="L133" s="18"/>
      <c r="M133" s="18"/>
      <c r="N133">
        <v>533754</v>
      </c>
    </row>
    <row r="134" spans="1:14" x14ac:dyDescent="0.25">
      <c r="A134" s="24"/>
      <c r="B134" s="17"/>
      <c r="C134" s="51" t="s">
        <v>600</v>
      </c>
      <c r="D134" s="51" t="s">
        <v>321</v>
      </c>
      <c r="E134" s="4">
        <v>1</v>
      </c>
      <c r="F134" s="4">
        <v>6.5198574624265107E-2</v>
      </c>
      <c r="G134" s="4">
        <v>435</v>
      </c>
      <c r="H134" s="4">
        <v>34800</v>
      </c>
      <c r="I134" s="4">
        <v>80</v>
      </c>
      <c r="J134" s="134"/>
      <c r="K134" s="18"/>
      <c r="L134" s="18"/>
      <c r="M134" s="18"/>
      <c r="N134">
        <v>533754</v>
      </c>
    </row>
    <row r="135" spans="1:14" x14ac:dyDescent="0.25">
      <c r="A135" s="24"/>
      <c r="B135" s="89" t="s">
        <v>1019</v>
      </c>
      <c r="C135" s="90"/>
      <c r="D135" s="91"/>
      <c r="E135" s="92">
        <v>2</v>
      </c>
      <c r="F135" s="92">
        <v>8.8205427968689687E-2</v>
      </c>
      <c r="G135" s="92">
        <v>742</v>
      </c>
      <c r="H135" s="92">
        <v>47080</v>
      </c>
      <c r="I135" s="92">
        <v>120</v>
      </c>
      <c r="J135" s="135">
        <f>GETPIVOTDATA("Usuarios afec",$A$3,"SE","RDB","Circuito",4035)/N135</f>
        <v>2.2482267111815555E-4</v>
      </c>
      <c r="K135" s="103">
        <f>GETPIVOTDATA("Suma de DEMUA",$A$3,"SE","RDB","Circuito",4035)/GETPIVOTDATA("Usuarios afec",$A$3,"SE","RDB","Circuito",4035)</f>
        <v>392.33333333333331</v>
      </c>
      <c r="L135" s="103">
        <f>GETPIVOTDATA("Duracion",$A$3,"SE","RDB","Circuito",4035)/GETPIVOTDATA("NI",$A$3,"SE","RDB","Circuito",4035)</f>
        <v>371</v>
      </c>
      <c r="M135" s="103">
        <f>GETPIVOTDATA("Usuarios afec",$A$3,"SE","RDB","Circuito",4035)/GETPIVOTDATA("NI",$A$3,"SE","RDB","Circuito",4035)</f>
        <v>60</v>
      </c>
      <c r="N135">
        <v>533754</v>
      </c>
    </row>
    <row r="136" spans="1:14" x14ac:dyDescent="0.25">
      <c r="A136" s="24"/>
      <c r="B136" s="23">
        <v>4045</v>
      </c>
      <c r="C136" s="51" t="s">
        <v>20</v>
      </c>
      <c r="D136" s="51" t="s">
        <v>1042</v>
      </c>
      <c r="E136" s="4">
        <v>1</v>
      </c>
      <c r="F136" s="4">
        <v>0.18003799503141896</v>
      </c>
      <c r="G136" s="4">
        <v>224</v>
      </c>
      <c r="H136" s="4">
        <v>96096</v>
      </c>
      <c r="I136" s="4">
        <v>429</v>
      </c>
      <c r="J136" s="134"/>
      <c r="K136" s="18"/>
      <c r="L136" s="18"/>
      <c r="M136" s="18"/>
      <c r="N136">
        <v>533754</v>
      </c>
    </row>
    <row r="137" spans="1:14" x14ac:dyDescent="0.25">
      <c r="A137" s="24"/>
      <c r="B137" s="24"/>
      <c r="C137" s="2" t="s">
        <v>955</v>
      </c>
      <c r="D137" s="2" t="s">
        <v>109</v>
      </c>
      <c r="E137" s="4">
        <v>1</v>
      </c>
      <c r="F137" s="4">
        <v>4.0063399993255318E-2</v>
      </c>
      <c r="G137" s="4">
        <v>324</v>
      </c>
      <c r="H137" s="4">
        <v>21384</v>
      </c>
      <c r="I137" s="4">
        <v>66</v>
      </c>
      <c r="J137" s="134"/>
      <c r="K137" s="18"/>
      <c r="L137" s="18"/>
      <c r="M137" s="18"/>
      <c r="N137">
        <v>533754</v>
      </c>
    </row>
    <row r="138" spans="1:14" x14ac:dyDescent="0.25">
      <c r="A138" s="24"/>
      <c r="B138" s="24"/>
      <c r="C138" s="2" t="s">
        <v>691</v>
      </c>
      <c r="D138" s="2" t="s">
        <v>36</v>
      </c>
      <c r="E138" s="4">
        <v>1</v>
      </c>
      <c r="F138" s="4">
        <v>2.3096782412871848E-2</v>
      </c>
      <c r="G138" s="4">
        <v>184</v>
      </c>
      <c r="H138" s="4">
        <v>12328</v>
      </c>
      <c r="I138" s="4">
        <v>67</v>
      </c>
      <c r="J138" s="134"/>
      <c r="K138" s="18"/>
      <c r="L138" s="18"/>
      <c r="M138" s="18"/>
      <c r="N138">
        <v>533754</v>
      </c>
    </row>
    <row r="139" spans="1:14" x14ac:dyDescent="0.25">
      <c r="A139" s="24"/>
      <c r="B139" s="24"/>
      <c r="C139" s="2" t="s">
        <v>826</v>
      </c>
      <c r="D139" s="2" t="s">
        <v>36</v>
      </c>
      <c r="E139" s="4">
        <v>1</v>
      </c>
      <c r="F139" s="4">
        <v>1.6018615317168583E-2</v>
      </c>
      <c r="G139" s="4">
        <v>342</v>
      </c>
      <c r="H139" s="4">
        <v>8550</v>
      </c>
      <c r="I139" s="4">
        <v>25</v>
      </c>
      <c r="J139" s="134"/>
      <c r="K139" s="18"/>
      <c r="L139" s="18"/>
      <c r="M139" s="18"/>
      <c r="N139">
        <v>533754</v>
      </c>
    </row>
    <row r="140" spans="1:14" x14ac:dyDescent="0.25">
      <c r="A140" s="24"/>
      <c r="B140" s="24"/>
      <c r="C140" s="2" t="s">
        <v>864</v>
      </c>
      <c r="D140" s="2" t="s">
        <v>109</v>
      </c>
      <c r="E140" s="4">
        <v>1</v>
      </c>
      <c r="F140" s="4">
        <v>5.4004279124840279E-2</v>
      </c>
      <c r="G140" s="4">
        <v>1153</v>
      </c>
      <c r="H140" s="4">
        <v>28825</v>
      </c>
      <c r="I140" s="4">
        <v>25</v>
      </c>
      <c r="J140" s="134"/>
      <c r="K140" s="18"/>
      <c r="L140" s="18"/>
      <c r="M140" s="18"/>
      <c r="N140">
        <v>533754</v>
      </c>
    </row>
    <row r="141" spans="1:14" x14ac:dyDescent="0.25">
      <c r="A141" s="24"/>
      <c r="B141" s="24"/>
      <c r="C141" s="2" t="s">
        <v>872</v>
      </c>
      <c r="D141" s="2" t="s">
        <v>110</v>
      </c>
      <c r="E141" s="4">
        <v>1</v>
      </c>
      <c r="F141" s="4">
        <v>9.7891538049363572E-3</v>
      </c>
      <c r="G141" s="4">
        <v>209</v>
      </c>
      <c r="H141" s="4">
        <v>5225</v>
      </c>
      <c r="I141" s="4">
        <v>25</v>
      </c>
      <c r="J141" s="134"/>
      <c r="K141" s="18"/>
      <c r="L141" s="18"/>
      <c r="M141" s="18"/>
      <c r="N141">
        <v>533754</v>
      </c>
    </row>
    <row r="142" spans="1:14" x14ac:dyDescent="0.25">
      <c r="A142" s="24"/>
      <c r="B142" s="17"/>
      <c r="C142" s="2" t="s">
        <v>399</v>
      </c>
      <c r="D142" s="2" t="s">
        <v>35</v>
      </c>
      <c r="E142" s="4">
        <v>1</v>
      </c>
      <c r="F142" s="4">
        <v>1.7052799604312097E-2</v>
      </c>
      <c r="G142" s="4">
        <v>222</v>
      </c>
      <c r="H142" s="4">
        <v>9102</v>
      </c>
      <c r="I142" s="4">
        <v>41</v>
      </c>
      <c r="J142" s="134"/>
      <c r="K142" s="18"/>
      <c r="L142" s="18"/>
      <c r="M142" s="18"/>
      <c r="N142">
        <v>533754</v>
      </c>
    </row>
    <row r="143" spans="1:14" x14ac:dyDescent="0.25">
      <c r="A143" s="17"/>
      <c r="B143" s="89" t="s">
        <v>1020</v>
      </c>
      <c r="C143" s="90"/>
      <c r="D143" s="91"/>
      <c r="E143" s="92">
        <v>7</v>
      </c>
      <c r="F143" s="92">
        <v>0.34006302528880344</v>
      </c>
      <c r="G143" s="92">
        <v>2658</v>
      </c>
      <c r="H143" s="92">
        <v>181510</v>
      </c>
      <c r="I143" s="92">
        <v>678</v>
      </c>
      <c r="J143" s="135">
        <f>GETPIVOTDATA("Usuarios afec",$A$3,"SE","RDB","Circuito",4045)/N143</f>
        <v>1.2702480918175788E-3</v>
      </c>
      <c r="K143" s="103">
        <f>GETPIVOTDATA("Suma de DEMUA",$A$3,"SE","RDB","Circuito",4045)/GETPIVOTDATA("Usuarios afec",$A$3,"SE","RDB","Circuito",4045)</f>
        <v>267.71386430678467</v>
      </c>
      <c r="L143" s="103">
        <f>GETPIVOTDATA("Duracion",$A$3,"SE","RDB","Circuito",4045)/GETPIVOTDATA("NI",$A$3,"SE","RDB","Circuito",4045)</f>
        <v>379.71428571428572</v>
      </c>
      <c r="M143" s="103">
        <f>GETPIVOTDATA("Usuarios afec",$A$3,"SE","RDB","Circuito",4045)/GETPIVOTDATA("NI",$A$3,"SE","RDB","Circuito",4045)</f>
        <v>96.857142857142861</v>
      </c>
      <c r="N143">
        <v>533754</v>
      </c>
    </row>
    <row r="144" spans="1:14" x14ac:dyDescent="0.25">
      <c r="A144" s="95" t="s">
        <v>1021</v>
      </c>
      <c r="B144" s="96"/>
      <c r="C144" s="96"/>
      <c r="D144" s="97"/>
      <c r="E144" s="98">
        <v>13</v>
      </c>
      <c r="F144" s="98">
        <v>0.64274553445969496</v>
      </c>
      <c r="G144" s="98">
        <v>4374</v>
      </c>
      <c r="H144" s="98">
        <v>343068</v>
      </c>
      <c r="I144" s="98">
        <v>1230</v>
      </c>
      <c r="J144" s="139">
        <f>GETPIVOTDATA("Usuarios afec",$A$3,"SE","RDB")/N144</f>
        <v>2.3044323789610946E-3</v>
      </c>
      <c r="K144" s="104">
        <f>GETPIVOTDATA("Suma de DEMUA",$A$3,"SE","RDB")/GETPIVOTDATA("Usuarios afec",$A$3,"SE","RDB")</f>
        <v>278.91707317073173</v>
      </c>
      <c r="L144" s="104">
        <f>GETPIVOTDATA("Duracion",$A$3,"SE","RDB")/GETPIVOTDATA("NI",$A$3,"SE","RDB")</f>
        <v>336.46153846153845</v>
      </c>
      <c r="M144" s="104">
        <f>GETPIVOTDATA("Usuarios afec",$A$3,"SE","RDB")/GETPIVOTDATA("NI",$A$3,"SE","RDB")</f>
        <v>94.615384615384613</v>
      </c>
      <c r="N144">
        <v>533754</v>
      </c>
    </row>
    <row r="145" spans="1:14" x14ac:dyDescent="0.25">
      <c r="A145" s="23" t="s">
        <v>361</v>
      </c>
      <c r="B145" s="51">
        <v>4020</v>
      </c>
      <c r="C145" s="79" t="s">
        <v>403</v>
      </c>
      <c r="D145" s="79" t="s">
        <v>35</v>
      </c>
      <c r="E145" s="4">
        <v>1</v>
      </c>
      <c r="F145" s="4">
        <v>4.7729853078384427E-2</v>
      </c>
      <c r="G145" s="4">
        <v>193</v>
      </c>
      <c r="H145" s="4">
        <v>25476</v>
      </c>
      <c r="I145" s="4">
        <v>132</v>
      </c>
      <c r="J145" s="134"/>
      <c r="K145" s="18"/>
      <c r="L145" s="18"/>
      <c r="M145" s="18"/>
      <c r="N145">
        <v>533754</v>
      </c>
    </row>
    <row r="146" spans="1:14" x14ac:dyDescent="0.25">
      <c r="A146" s="24"/>
      <c r="B146" s="51"/>
      <c r="C146" s="25" t="s">
        <v>406</v>
      </c>
      <c r="D146" s="79" t="s">
        <v>36</v>
      </c>
      <c r="E146" s="4">
        <v>1</v>
      </c>
      <c r="F146" s="4">
        <v>1.31521262604121E-2</v>
      </c>
      <c r="G146" s="4">
        <v>135</v>
      </c>
      <c r="H146" s="4">
        <v>7020</v>
      </c>
      <c r="I146" s="4">
        <v>52</v>
      </c>
      <c r="J146" s="134"/>
      <c r="K146" s="18"/>
      <c r="L146" s="18"/>
      <c r="M146" s="18"/>
      <c r="N146">
        <v>533754</v>
      </c>
    </row>
    <row r="147" spans="1:14" x14ac:dyDescent="0.25">
      <c r="A147" s="24"/>
      <c r="B147" s="51"/>
      <c r="C147" s="25" t="s">
        <v>413</v>
      </c>
      <c r="D147" s="79" t="s">
        <v>110</v>
      </c>
      <c r="E147" s="4">
        <v>1</v>
      </c>
      <c r="F147" s="4">
        <v>4.8524226516335242E-2</v>
      </c>
      <c r="G147" s="4">
        <v>518</v>
      </c>
      <c r="H147" s="4">
        <v>25900</v>
      </c>
      <c r="I147" s="4">
        <v>50</v>
      </c>
      <c r="J147" s="134"/>
      <c r="K147" s="18"/>
      <c r="L147" s="18"/>
      <c r="M147" s="18"/>
      <c r="N147">
        <v>533754</v>
      </c>
    </row>
    <row r="148" spans="1:14" x14ac:dyDescent="0.25">
      <c r="A148" s="24"/>
      <c r="B148" s="51"/>
      <c r="C148" s="25"/>
      <c r="D148" s="25" t="s">
        <v>36</v>
      </c>
      <c r="E148" s="4">
        <v>1</v>
      </c>
      <c r="F148" s="4">
        <v>7.4641126811227643E-3</v>
      </c>
      <c r="G148" s="4">
        <v>83</v>
      </c>
      <c r="H148" s="4">
        <v>3984</v>
      </c>
      <c r="I148" s="4">
        <v>48</v>
      </c>
      <c r="J148" s="134"/>
      <c r="K148" s="18"/>
      <c r="L148" s="18"/>
      <c r="M148" s="18"/>
      <c r="N148">
        <v>533754</v>
      </c>
    </row>
    <row r="149" spans="1:14" x14ac:dyDescent="0.25">
      <c r="A149" s="24"/>
      <c r="B149" s="51"/>
      <c r="C149" s="25" t="s">
        <v>526</v>
      </c>
      <c r="D149" s="79" t="s">
        <v>35</v>
      </c>
      <c r="E149" s="4">
        <v>1</v>
      </c>
      <c r="F149" s="4">
        <v>4.8085822307654839E-2</v>
      </c>
      <c r="G149" s="4">
        <v>313</v>
      </c>
      <c r="H149" s="4">
        <v>25666</v>
      </c>
      <c r="I149" s="4">
        <v>82</v>
      </c>
      <c r="J149" s="134"/>
      <c r="K149" s="18"/>
      <c r="L149" s="18"/>
      <c r="M149" s="18"/>
      <c r="N149">
        <v>533754</v>
      </c>
    </row>
    <row r="150" spans="1:14" x14ac:dyDescent="0.25">
      <c r="A150" s="24"/>
      <c r="B150" s="51"/>
      <c r="C150" s="25" t="s">
        <v>627</v>
      </c>
      <c r="D150" s="79" t="s">
        <v>36</v>
      </c>
      <c r="E150" s="4">
        <v>1</v>
      </c>
      <c r="F150" s="4">
        <v>3.5409570701109498E-2</v>
      </c>
      <c r="G150" s="4">
        <v>315</v>
      </c>
      <c r="H150" s="4">
        <v>18900</v>
      </c>
      <c r="I150" s="4">
        <v>60</v>
      </c>
      <c r="J150" s="134"/>
      <c r="K150" s="18"/>
      <c r="L150" s="18"/>
      <c r="M150" s="18"/>
      <c r="N150">
        <v>533754</v>
      </c>
    </row>
    <row r="151" spans="1:14" x14ac:dyDescent="0.25">
      <c r="A151" s="24"/>
      <c r="B151" s="51"/>
      <c r="C151" s="25" t="s">
        <v>716</v>
      </c>
      <c r="D151" s="79" t="s">
        <v>36</v>
      </c>
      <c r="E151" s="4">
        <v>1</v>
      </c>
      <c r="F151" s="4">
        <v>1.2983509257073483E-2</v>
      </c>
      <c r="G151" s="4">
        <v>77</v>
      </c>
      <c r="H151" s="4">
        <v>6930</v>
      </c>
      <c r="I151" s="4">
        <v>90</v>
      </c>
      <c r="J151" s="134"/>
      <c r="K151" s="18"/>
      <c r="L151" s="18"/>
      <c r="M151" s="18"/>
      <c r="N151">
        <v>533754</v>
      </c>
    </row>
    <row r="152" spans="1:14" x14ac:dyDescent="0.25">
      <c r="A152" s="24"/>
      <c r="B152" s="80" t="s">
        <v>76</v>
      </c>
      <c r="C152" s="80"/>
      <c r="D152" s="80"/>
      <c r="E152" s="92">
        <v>7</v>
      </c>
      <c r="F152" s="92">
        <v>0.21334922080209237</v>
      </c>
      <c r="G152" s="92">
        <v>1634</v>
      </c>
      <c r="H152" s="92">
        <v>113876</v>
      </c>
      <c r="I152" s="92">
        <v>514</v>
      </c>
      <c r="J152" s="135">
        <f>GETPIVOTDATA("Usuarios afec",$A$3,"SE","TGU","Circuito",4020)/N152</f>
        <v>9.6299044128943299E-4</v>
      </c>
      <c r="K152" s="103">
        <f>GETPIVOTDATA("Suma de DEMUA",$A$3,"SE","TGU","Circuito",4020)/GETPIVOTDATA("Usuarios afec",$A$3,"SE","TGU","Circuito",4020)</f>
        <v>221.54863813229571</v>
      </c>
      <c r="L152" s="103">
        <f>GETPIVOTDATA("Duracion",$A$3,"SE","TGU","Circuito",4020)/GETPIVOTDATA("NI",$A$3,"SE","TGU","Circuito",4020)</f>
        <v>233.42857142857142</v>
      </c>
      <c r="M152" s="103">
        <f>GETPIVOTDATA("Usuarios afec",$A$3,"SE","TGU","Circuito",4020)/GETPIVOTDATA("NI",$A$3,"SE","TGU","Circuito",4020)</f>
        <v>73.428571428571431</v>
      </c>
      <c r="N152">
        <v>533754</v>
      </c>
    </row>
    <row r="153" spans="1:14" x14ac:dyDescent="0.25">
      <c r="A153" s="24"/>
      <c r="B153" s="51">
        <v>4030</v>
      </c>
      <c r="C153" s="25" t="s">
        <v>663</v>
      </c>
      <c r="D153" s="25" t="s">
        <v>36</v>
      </c>
      <c r="E153" s="4">
        <v>1</v>
      </c>
      <c r="F153" s="4">
        <v>8.7920652585273359E-2</v>
      </c>
      <c r="G153" s="4">
        <v>419</v>
      </c>
      <c r="H153" s="4">
        <v>46928</v>
      </c>
      <c r="I153" s="4">
        <v>112</v>
      </c>
      <c r="J153" s="134"/>
      <c r="K153" s="18"/>
      <c r="L153" s="18"/>
      <c r="M153" s="18"/>
      <c r="N153">
        <v>533754</v>
      </c>
    </row>
    <row r="154" spans="1:14" x14ac:dyDescent="0.25">
      <c r="A154" s="24"/>
      <c r="B154" s="51"/>
      <c r="C154" s="25" t="s">
        <v>727</v>
      </c>
      <c r="D154" s="25" t="s">
        <v>36</v>
      </c>
      <c r="E154" s="4">
        <v>1</v>
      </c>
      <c r="F154" s="4">
        <v>1.9660742589282704E-2</v>
      </c>
      <c r="G154" s="4">
        <v>106</v>
      </c>
      <c r="H154" s="4">
        <v>10494</v>
      </c>
      <c r="I154" s="4">
        <v>99</v>
      </c>
      <c r="J154" s="134"/>
      <c r="K154" s="18"/>
      <c r="L154" s="18"/>
      <c r="M154" s="18"/>
      <c r="N154">
        <v>533754</v>
      </c>
    </row>
    <row r="155" spans="1:14" x14ac:dyDescent="0.25">
      <c r="A155" s="24"/>
      <c r="B155" s="51"/>
      <c r="C155" s="25" t="s">
        <v>747</v>
      </c>
      <c r="D155" s="25" t="s">
        <v>44</v>
      </c>
      <c r="E155" s="4">
        <v>1</v>
      </c>
      <c r="F155" s="4">
        <v>1.1548391206435924E-2</v>
      </c>
      <c r="G155" s="4">
        <v>67</v>
      </c>
      <c r="H155" s="4">
        <v>6164</v>
      </c>
      <c r="I155" s="4">
        <v>92</v>
      </c>
      <c r="J155" s="134"/>
      <c r="K155" s="18"/>
      <c r="L155" s="18"/>
      <c r="M155" s="18"/>
      <c r="N155">
        <v>533754</v>
      </c>
    </row>
    <row r="156" spans="1:14" x14ac:dyDescent="0.25">
      <c r="A156" s="24"/>
      <c r="B156" s="51"/>
      <c r="C156" s="25" t="s">
        <v>792</v>
      </c>
      <c r="D156" s="25" t="s">
        <v>36</v>
      </c>
      <c r="E156" s="4">
        <v>1</v>
      </c>
      <c r="F156" s="4">
        <v>2.879603712571709E-2</v>
      </c>
      <c r="G156" s="4">
        <v>106</v>
      </c>
      <c r="H156" s="4">
        <v>15370</v>
      </c>
      <c r="I156" s="4">
        <v>145</v>
      </c>
      <c r="J156" s="134"/>
      <c r="K156" s="18"/>
      <c r="L156" s="18"/>
      <c r="M156" s="18"/>
      <c r="N156">
        <v>533754</v>
      </c>
    </row>
    <row r="157" spans="1:14" x14ac:dyDescent="0.25">
      <c r="A157" s="24"/>
      <c r="B157" s="80" t="s">
        <v>77</v>
      </c>
      <c r="C157" s="80"/>
      <c r="D157" s="80"/>
      <c r="E157" s="92">
        <v>4</v>
      </c>
      <c r="F157" s="92">
        <v>0.14792582350670908</v>
      </c>
      <c r="G157" s="92">
        <v>698</v>
      </c>
      <c r="H157" s="92">
        <v>78956</v>
      </c>
      <c r="I157" s="92">
        <v>448</v>
      </c>
      <c r="J157" s="135">
        <f>GETPIVOTDATA("Usuarios afec",$A$3,"SE","TGU","Circuito",4030)/N157</f>
        <v>8.3933797217444739E-4</v>
      </c>
      <c r="K157" s="103">
        <f>GETPIVOTDATA("Suma de DEMUA",$A$3,"SE","TGU","Circuito",4030)/GETPIVOTDATA("Usuarios afec",$A$3,"SE","TGU","Circuito",4030)</f>
        <v>176.24107142857142</v>
      </c>
      <c r="L157" s="103">
        <f>GETPIVOTDATA("Duracion",$A$3,"SE","TGU","Circuito",4030)/GETPIVOTDATA("NI",$A$3,"SE","TGU","Circuito",4030)</f>
        <v>174.5</v>
      </c>
      <c r="M157" s="103">
        <f>GETPIVOTDATA("Usuarios afec",$A$3,"SE","TGU","Circuito",4030)/GETPIVOTDATA("NI",$A$3,"SE","TGU","Circuito",4030)</f>
        <v>112</v>
      </c>
      <c r="N157">
        <v>533754</v>
      </c>
    </row>
    <row r="158" spans="1:14" x14ac:dyDescent="0.25">
      <c r="A158" s="24"/>
      <c r="B158" s="51">
        <v>4050</v>
      </c>
      <c r="C158" s="25" t="s">
        <v>478</v>
      </c>
      <c r="D158" s="25" t="s">
        <v>35</v>
      </c>
      <c r="E158" s="4">
        <v>2</v>
      </c>
      <c r="F158" s="4">
        <v>5.468811474949134E-2</v>
      </c>
      <c r="G158" s="4">
        <v>278</v>
      </c>
      <c r="H158" s="4">
        <v>29190</v>
      </c>
      <c r="I158" s="4">
        <v>210</v>
      </c>
      <c r="J158" s="134"/>
      <c r="K158" s="18"/>
      <c r="L158" s="18"/>
      <c r="M158" s="18"/>
      <c r="N158">
        <v>533754</v>
      </c>
    </row>
    <row r="159" spans="1:14" x14ac:dyDescent="0.25">
      <c r="A159" s="24"/>
      <c r="B159" s="51"/>
      <c r="C159" s="25"/>
      <c r="D159" s="25" t="s">
        <v>36</v>
      </c>
      <c r="E159" s="4">
        <v>1</v>
      </c>
      <c r="F159" s="4">
        <v>1.7873402353893366E-2</v>
      </c>
      <c r="G159" s="4">
        <v>90</v>
      </c>
      <c r="H159" s="4">
        <v>9540</v>
      </c>
      <c r="I159" s="4">
        <v>106</v>
      </c>
      <c r="J159" s="134"/>
      <c r="K159" s="18"/>
      <c r="L159" s="18"/>
      <c r="M159" s="18"/>
      <c r="N159">
        <v>533754</v>
      </c>
    </row>
    <row r="160" spans="1:14" x14ac:dyDescent="0.25">
      <c r="A160" s="24"/>
      <c r="B160" s="80" t="s">
        <v>312</v>
      </c>
      <c r="C160" s="80"/>
      <c r="D160" s="80"/>
      <c r="E160" s="92">
        <v>3</v>
      </c>
      <c r="F160" s="92">
        <v>7.256151710338471E-2</v>
      </c>
      <c r="G160" s="92">
        <v>368</v>
      </c>
      <c r="H160" s="92">
        <v>38730</v>
      </c>
      <c r="I160" s="92">
        <v>316</v>
      </c>
      <c r="J160" s="135">
        <f>GETPIVOTDATA("Usuarios afec",$A$3,"SE","TGU","Circuito",4050)/N160</f>
        <v>5.920330339444763E-4</v>
      </c>
      <c r="K160" s="103">
        <f>GETPIVOTDATA("Suma de DEMUA",$A$3,"SE","TGU","Circuito",4050)/GETPIVOTDATA("Usuarios afec",$A$3,"SE","TGU","Circuito",4050)</f>
        <v>122.5632911392405</v>
      </c>
      <c r="L160" s="103">
        <f>GETPIVOTDATA("Duracion",$A$3,"SE","TGU","Circuito",4050)/GETPIVOTDATA("NI",$A$3,"SE","TGU","Circuito",4050)</f>
        <v>122.66666666666667</v>
      </c>
      <c r="M160" s="103">
        <f>GETPIVOTDATA("Usuarios afec",$A$3,"SE","TGU","Circuito",4050)/GETPIVOTDATA("NI",$A$3,"SE","TGU","Circuito",4050)</f>
        <v>105.33333333333333</v>
      </c>
      <c r="N160">
        <v>533754</v>
      </c>
    </row>
    <row r="161" spans="1:14" x14ac:dyDescent="0.25">
      <c r="A161" s="24"/>
      <c r="B161" s="51">
        <v>4040</v>
      </c>
      <c r="C161" s="25" t="s">
        <v>362</v>
      </c>
      <c r="D161" s="25" t="s">
        <v>36</v>
      </c>
      <c r="E161" s="4">
        <v>1</v>
      </c>
      <c r="F161" s="4">
        <v>1.9132409312155037E-2</v>
      </c>
      <c r="G161" s="4">
        <v>69</v>
      </c>
      <c r="H161" s="4">
        <v>10212</v>
      </c>
      <c r="I161" s="4">
        <v>148</v>
      </c>
      <c r="J161" s="134"/>
      <c r="K161" s="18"/>
      <c r="L161" s="18"/>
      <c r="M161" s="18"/>
      <c r="N161">
        <v>533754</v>
      </c>
    </row>
    <row r="162" spans="1:14" x14ac:dyDescent="0.25">
      <c r="A162" s="24"/>
      <c r="B162" s="51"/>
      <c r="C162" s="25" t="s">
        <v>570</v>
      </c>
      <c r="D162" s="25" t="s">
        <v>36</v>
      </c>
      <c r="E162" s="4">
        <v>1</v>
      </c>
      <c r="F162" s="4">
        <v>1.6917906001641204E-2</v>
      </c>
      <c r="G162" s="4">
        <v>105</v>
      </c>
      <c r="H162" s="4">
        <v>9030</v>
      </c>
      <c r="I162" s="4">
        <v>86</v>
      </c>
      <c r="J162" s="134"/>
      <c r="K162" s="18"/>
      <c r="L162" s="18"/>
      <c r="M162" s="18"/>
      <c r="N162">
        <v>533754</v>
      </c>
    </row>
    <row r="163" spans="1:14" x14ac:dyDescent="0.25">
      <c r="A163" s="24"/>
      <c r="B163" s="80" t="s">
        <v>313</v>
      </c>
      <c r="C163" s="80"/>
      <c r="D163" s="80"/>
      <c r="E163" s="92">
        <v>2</v>
      </c>
      <c r="F163" s="92">
        <v>3.6050315313796238E-2</v>
      </c>
      <c r="G163" s="92">
        <v>174</v>
      </c>
      <c r="H163" s="92">
        <v>19242</v>
      </c>
      <c r="I163" s="92">
        <v>234</v>
      </c>
      <c r="J163" s="135">
        <f>GETPIVOTDATA("Usuarios afec",$A$3,"SE","TGU","Circuito",4040)/N163</f>
        <v>4.3840420868040335E-4</v>
      </c>
      <c r="K163" s="103">
        <f>GETPIVOTDATA("Suma de DEMUA",$A$3,"SE","TGU","Circuito",4040)/GETPIVOTDATA("Usuarios afec",$A$3,"SE","TGU","Circuito",4040)</f>
        <v>82.230769230769226</v>
      </c>
      <c r="L163" s="103">
        <f>GETPIVOTDATA("Duracion",$A$3,"SE","TGU","Circuito",4040)/GETPIVOTDATA("NI",$A$3,"SE","TGU","Circuito",4040)</f>
        <v>87</v>
      </c>
      <c r="M163" s="103">
        <f>GETPIVOTDATA("Usuarios afec",$A$3,"SE","TGU","Circuito",4040)/GETPIVOTDATA("NI",$A$3,"SE","TGU","Circuito",4040)</f>
        <v>117</v>
      </c>
      <c r="N163">
        <v>533754</v>
      </c>
    </row>
    <row r="164" spans="1:14" x14ac:dyDescent="0.25">
      <c r="A164" s="24"/>
      <c r="B164" s="51">
        <v>4060</v>
      </c>
      <c r="C164" s="25" t="s">
        <v>385</v>
      </c>
      <c r="D164" s="25" t="s">
        <v>36</v>
      </c>
      <c r="E164" s="4">
        <v>1</v>
      </c>
      <c r="F164" s="4">
        <v>1.5855618880607922E-2</v>
      </c>
      <c r="G164" s="4">
        <v>91</v>
      </c>
      <c r="H164" s="4">
        <v>8463</v>
      </c>
      <c r="I164" s="4">
        <v>93</v>
      </c>
      <c r="J164" s="134"/>
      <c r="K164" s="18"/>
      <c r="L164" s="18"/>
      <c r="M164" s="18"/>
      <c r="N164">
        <v>533754</v>
      </c>
    </row>
    <row r="165" spans="1:14" x14ac:dyDescent="0.25">
      <c r="A165" s="24"/>
      <c r="B165" s="51"/>
      <c r="C165" s="25" t="s">
        <v>671</v>
      </c>
      <c r="D165" s="25" t="s">
        <v>36</v>
      </c>
      <c r="E165" s="4">
        <v>1</v>
      </c>
      <c r="F165" s="4">
        <v>4.2296638526362333E-2</v>
      </c>
      <c r="G165" s="4">
        <v>272</v>
      </c>
      <c r="H165" s="4">
        <v>22576</v>
      </c>
      <c r="I165" s="4">
        <v>83</v>
      </c>
      <c r="J165" s="134"/>
      <c r="K165" s="18"/>
      <c r="L165" s="18"/>
      <c r="M165" s="18"/>
      <c r="N165">
        <v>533754</v>
      </c>
    </row>
    <row r="166" spans="1:14" x14ac:dyDescent="0.25">
      <c r="A166" s="24"/>
      <c r="B166" s="51"/>
      <c r="C166" s="25" t="s">
        <v>757</v>
      </c>
      <c r="D166" s="25" t="s">
        <v>36</v>
      </c>
      <c r="E166" s="4">
        <v>1</v>
      </c>
      <c r="F166" s="4">
        <v>1.6029856450724491E-2</v>
      </c>
      <c r="G166" s="4">
        <v>93</v>
      </c>
      <c r="H166" s="4">
        <v>8556</v>
      </c>
      <c r="I166" s="4">
        <v>92</v>
      </c>
      <c r="J166" s="134"/>
      <c r="K166" s="18"/>
      <c r="L166" s="18"/>
      <c r="M166" s="18"/>
      <c r="N166">
        <v>533754</v>
      </c>
    </row>
    <row r="167" spans="1:14" x14ac:dyDescent="0.25">
      <c r="A167" s="24"/>
      <c r="B167" s="51"/>
      <c r="C167" s="25" t="s">
        <v>904</v>
      </c>
      <c r="D167" s="25" t="s">
        <v>36</v>
      </c>
      <c r="E167" s="4">
        <v>1</v>
      </c>
      <c r="F167" s="4">
        <v>2.5202621432345237E-2</v>
      </c>
      <c r="G167" s="4">
        <v>114</v>
      </c>
      <c r="H167" s="4">
        <v>13452</v>
      </c>
      <c r="I167" s="4">
        <v>118</v>
      </c>
      <c r="J167" s="134"/>
      <c r="K167" s="18"/>
      <c r="L167" s="18"/>
      <c r="M167" s="18"/>
      <c r="N167">
        <v>533754</v>
      </c>
    </row>
    <row r="168" spans="1:14" x14ac:dyDescent="0.25">
      <c r="A168" s="24"/>
      <c r="B168" s="80" t="s">
        <v>1014</v>
      </c>
      <c r="C168" s="80"/>
      <c r="D168" s="80"/>
      <c r="E168" s="92">
        <v>4</v>
      </c>
      <c r="F168" s="92">
        <v>9.938473529003998E-2</v>
      </c>
      <c r="G168" s="92">
        <v>570</v>
      </c>
      <c r="H168" s="92">
        <v>53047</v>
      </c>
      <c r="I168" s="92">
        <v>386</v>
      </c>
      <c r="J168" s="135">
        <f>GETPIVOTDATA("Usuarios afec",$A$3,"SE","TGU","Circuito",4060)/N168</f>
        <v>7.2317959209673374E-4</v>
      </c>
      <c r="K168" s="103">
        <f>GETPIVOTDATA("Suma de DEMUA",$A$3,"SE","TGU","Circuito",4060)/GETPIVOTDATA("Usuarios afec",$A$3,"SE","TGU","Circuito",4060)</f>
        <v>137.42746113989637</v>
      </c>
      <c r="L168" s="103">
        <f>GETPIVOTDATA("Duracion",$A$3,"SE","TGU","Circuito",4060)/GETPIVOTDATA("NI",$A$3,"SE","TGU","Circuito",4060)</f>
        <v>142.5</v>
      </c>
      <c r="M168" s="103">
        <f>GETPIVOTDATA("Usuarios afec",$A$3,"SE","TGU","Circuito",4060)/GETPIVOTDATA("NI",$A$3,"SE","TGU","Circuito",4060)</f>
        <v>96.5</v>
      </c>
      <c r="N168">
        <v>533754</v>
      </c>
    </row>
    <row r="169" spans="1:14" x14ac:dyDescent="0.25">
      <c r="A169" s="24"/>
      <c r="B169" s="51">
        <v>4080</v>
      </c>
      <c r="C169" s="25" t="s">
        <v>979</v>
      </c>
      <c r="D169" s="25" t="s">
        <v>36</v>
      </c>
      <c r="E169" s="4">
        <v>1</v>
      </c>
      <c r="F169" s="4">
        <v>4.4908328555851576E-3</v>
      </c>
      <c r="G169" s="4">
        <v>51</v>
      </c>
      <c r="H169" s="4">
        <v>2397</v>
      </c>
      <c r="I169" s="4">
        <v>47</v>
      </c>
      <c r="J169" s="134"/>
      <c r="K169" s="18"/>
      <c r="L169" s="18"/>
      <c r="M169" s="18"/>
      <c r="N169">
        <v>533754</v>
      </c>
    </row>
    <row r="170" spans="1:14" x14ac:dyDescent="0.25">
      <c r="A170" s="17"/>
      <c r="B170" s="80" t="s">
        <v>1028</v>
      </c>
      <c r="C170" s="80"/>
      <c r="D170" s="80"/>
      <c r="E170" s="92">
        <v>1</v>
      </c>
      <c r="F170" s="92">
        <v>4.4908328555851576E-3</v>
      </c>
      <c r="G170" s="92">
        <v>51</v>
      </c>
      <c r="H170" s="92">
        <v>2397</v>
      </c>
      <c r="I170" s="92">
        <v>47</v>
      </c>
      <c r="J170" s="135">
        <f>GETPIVOTDATA("Usuarios afec",$A$3,"SE","TGU","Circuito",4080)/N170</f>
        <v>8.8055546187944261E-5</v>
      </c>
      <c r="K170" s="103">
        <f>GETPIVOTDATA("Suma de DEMUA",$A$3,"SE","TGU","Circuito",4080)/GETPIVOTDATA("Usuarios afec",$A$3,"SE","TGU","Circuito",4080)</f>
        <v>51</v>
      </c>
      <c r="L170" s="103">
        <f>GETPIVOTDATA("Duracion",$A$3,"SE","TGU","Circuito",4080)/GETPIVOTDATA("NI",$A$3,"SE","TGU","Circuito",4080)</f>
        <v>51</v>
      </c>
      <c r="M170" s="103">
        <f>GETPIVOTDATA("Usuarios afec",$A$3,"SE","TGU","Circuito",4080)/GETPIVOTDATA("NI",$A$3,"SE","TGU","Circuito",4080)</f>
        <v>47</v>
      </c>
      <c r="N170">
        <v>533754</v>
      </c>
    </row>
    <row r="171" spans="1:14" x14ac:dyDescent="0.25">
      <c r="A171" s="95" t="s">
        <v>1029</v>
      </c>
      <c r="B171" s="96"/>
      <c r="C171" s="96"/>
      <c r="D171" s="97"/>
      <c r="E171" s="98">
        <v>21</v>
      </c>
      <c r="F171" s="98">
        <v>0.57376244487160744</v>
      </c>
      <c r="G171" s="98">
        <v>3495</v>
      </c>
      <c r="H171" s="98">
        <v>306248</v>
      </c>
      <c r="I171" s="98">
        <v>1945</v>
      </c>
      <c r="J171" s="139">
        <f>GETPIVOTDATA("Usuarios afec",$A$3,"SE","TGU")/N171</f>
        <v>3.6440007943734378E-3</v>
      </c>
      <c r="K171" s="104">
        <f>GETPIVOTDATA("Suma de DEMUA",$A$3,"SE","TGU")/GETPIVOTDATA("Usuarios afec",$A$3,"SE","TGU")</f>
        <v>157.45398457583548</v>
      </c>
      <c r="L171" s="104">
        <f>GETPIVOTDATA("Duracion",$A$3,"SE","TGU")/GETPIVOTDATA("NI",$A$3,"SE","TGU")</f>
        <v>166.42857142857142</v>
      </c>
      <c r="M171" s="104">
        <f>GETPIVOTDATA("Usuarios afec",$A$3,"SE","TGU")/GETPIVOTDATA("NI",$A$3,"SE","TGU")</f>
        <v>92.61904761904762</v>
      </c>
      <c r="N171">
        <v>533754</v>
      </c>
    </row>
    <row r="172" spans="1:14" x14ac:dyDescent="0.25">
      <c r="A172" s="23" t="s">
        <v>343</v>
      </c>
      <c r="B172" s="51">
        <v>4010</v>
      </c>
      <c r="C172" s="79" t="s">
        <v>462</v>
      </c>
      <c r="D172" s="79" t="s">
        <v>36</v>
      </c>
      <c r="E172" s="4">
        <v>3</v>
      </c>
      <c r="F172" s="4">
        <v>7.0654271443399017E-2</v>
      </c>
      <c r="G172" s="4">
        <v>580</v>
      </c>
      <c r="H172" s="4">
        <v>37712</v>
      </c>
      <c r="I172" s="4">
        <v>197</v>
      </c>
      <c r="J172" s="134"/>
      <c r="K172" s="18"/>
      <c r="L172" s="18"/>
      <c r="M172" s="18"/>
      <c r="N172">
        <v>533754</v>
      </c>
    </row>
    <row r="173" spans="1:14" x14ac:dyDescent="0.25">
      <c r="A173" s="24"/>
      <c r="B173" s="51"/>
      <c r="C173" s="25" t="s">
        <v>467</v>
      </c>
      <c r="D173" s="79" t="s">
        <v>35</v>
      </c>
      <c r="E173" s="4">
        <v>1</v>
      </c>
      <c r="F173" s="4">
        <v>3.3491083907567908E-2</v>
      </c>
      <c r="G173" s="4">
        <v>218</v>
      </c>
      <c r="H173" s="4">
        <v>17876</v>
      </c>
      <c r="I173" s="4">
        <v>82</v>
      </c>
      <c r="J173" s="134"/>
      <c r="K173" s="18"/>
      <c r="L173" s="18"/>
      <c r="M173" s="18"/>
      <c r="N173">
        <v>533754</v>
      </c>
    </row>
    <row r="174" spans="1:14" x14ac:dyDescent="0.25">
      <c r="A174" s="24"/>
      <c r="B174" s="51"/>
      <c r="C174" s="25" t="s">
        <v>500</v>
      </c>
      <c r="D174" s="79" t="s">
        <v>36</v>
      </c>
      <c r="E174" s="4">
        <v>1</v>
      </c>
      <c r="F174" s="4">
        <v>1.6483248837479439E-2</v>
      </c>
      <c r="G174" s="4">
        <v>106</v>
      </c>
      <c r="H174" s="4">
        <v>8798</v>
      </c>
      <c r="I174" s="4">
        <v>83</v>
      </c>
      <c r="J174" s="134"/>
      <c r="K174" s="18"/>
      <c r="L174" s="18"/>
      <c r="M174" s="18"/>
      <c r="N174">
        <v>533754</v>
      </c>
    </row>
    <row r="175" spans="1:14" x14ac:dyDescent="0.25">
      <c r="A175" s="24"/>
      <c r="B175" s="51"/>
      <c r="C175" s="25" t="s">
        <v>637</v>
      </c>
      <c r="D175" s="79" t="s">
        <v>36</v>
      </c>
      <c r="E175" s="4">
        <v>1</v>
      </c>
      <c r="F175" s="4">
        <v>4.8336874290403446E-2</v>
      </c>
      <c r="G175" s="4">
        <v>258</v>
      </c>
      <c r="H175" s="4">
        <v>25800</v>
      </c>
      <c r="I175" s="4">
        <v>100</v>
      </c>
      <c r="J175" s="134"/>
      <c r="K175" s="18"/>
      <c r="L175" s="18"/>
      <c r="M175" s="18"/>
      <c r="N175">
        <v>533754</v>
      </c>
    </row>
    <row r="176" spans="1:14" x14ac:dyDescent="0.25">
      <c r="A176" s="24"/>
      <c r="B176" s="51"/>
      <c r="C176" s="25" t="s">
        <v>740</v>
      </c>
      <c r="D176" s="79" t="s">
        <v>36</v>
      </c>
      <c r="E176" s="4">
        <v>1</v>
      </c>
      <c r="F176" s="4">
        <v>1.5006913297136883E-2</v>
      </c>
      <c r="G176" s="4">
        <v>90</v>
      </c>
      <c r="H176" s="4">
        <v>8010</v>
      </c>
      <c r="I176" s="4">
        <v>89</v>
      </c>
      <c r="J176" s="134"/>
      <c r="K176" s="18"/>
      <c r="L176" s="18"/>
      <c r="M176" s="18"/>
      <c r="N176">
        <v>533754</v>
      </c>
    </row>
    <row r="177" spans="1:14" x14ac:dyDescent="0.25">
      <c r="A177" s="24"/>
      <c r="B177" s="80" t="s">
        <v>75</v>
      </c>
      <c r="C177" s="80"/>
      <c r="D177" s="80"/>
      <c r="E177" s="92">
        <v>7</v>
      </c>
      <c r="F177" s="92">
        <v>0.18397239177598668</v>
      </c>
      <c r="G177" s="92">
        <v>1252</v>
      </c>
      <c r="H177" s="92">
        <v>98196</v>
      </c>
      <c r="I177" s="92">
        <v>551</v>
      </c>
      <c r="J177" s="135">
        <f>GETPIVOTDATA("Usuarios afec",$A$3,"SE","TXN","Circuito",4010)/N177</f>
        <v>1.0323107648841977E-3</v>
      </c>
      <c r="K177" s="103">
        <f>GETPIVOTDATA("Suma de DEMUA",$A$3,"SE","TXN","Circuito",4010)/GETPIVOTDATA("Usuarios afec",$A$3,"SE","TXN","Circuito",4010)</f>
        <v>178.2141560798548</v>
      </c>
      <c r="L177" s="103">
        <f>GETPIVOTDATA("Duracion",$A$3,"SE","TXN","Circuito",4010)/GETPIVOTDATA("NI",$A$3,"SE","TXN","Circuito",4010)</f>
        <v>178.85714285714286</v>
      </c>
      <c r="M177" s="103">
        <f>GETPIVOTDATA("Usuarios afec",$A$3,"SE","TXN","Circuito",4010)/GETPIVOTDATA("NI",$A$3,"SE","TXN","Circuito",4010)</f>
        <v>78.714285714285708</v>
      </c>
      <c r="N177">
        <v>533754</v>
      </c>
    </row>
    <row r="178" spans="1:14" x14ac:dyDescent="0.25">
      <c r="A178" s="24"/>
      <c r="B178" s="51">
        <v>4020</v>
      </c>
      <c r="C178" s="25" t="s">
        <v>344</v>
      </c>
      <c r="D178" s="25" t="s">
        <v>36</v>
      </c>
      <c r="E178" s="4">
        <v>2</v>
      </c>
      <c r="F178" s="4">
        <v>7.977832484627749E-2</v>
      </c>
      <c r="G178" s="4">
        <v>307</v>
      </c>
      <c r="H178" s="4">
        <v>42582</v>
      </c>
      <c r="I178" s="4">
        <v>249</v>
      </c>
      <c r="J178" s="134"/>
      <c r="K178" s="18"/>
      <c r="L178" s="18"/>
      <c r="M178" s="18"/>
      <c r="N178">
        <v>533754</v>
      </c>
    </row>
    <row r="179" spans="1:14" x14ac:dyDescent="0.25">
      <c r="A179" s="24"/>
      <c r="B179" s="51"/>
      <c r="C179" s="25" t="s">
        <v>440</v>
      </c>
      <c r="D179" s="25" t="s">
        <v>35</v>
      </c>
      <c r="E179" s="4">
        <v>1</v>
      </c>
      <c r="F179" s="4">
        <v>9.8921975291988446E-3</v>
      </c>
      <c r="G179" s="4">
        <v>32</v>
      </c>
      <c r="H179" s="4">
        <v>5280</v>
      </c>
      <c r="I179" s="4">
        <v>165</v>
      </c>
      <c r="J179" s="134"/>
      <c r="K179" s="18"/>
      <c r="L179" s="18"/>
      <c r="M179" s="18"/>
      <c r="N179">
        <v>533754</v>
      </c>
    </row>
    <row r="180" spans="1:14" x14ac:dyDescent="0.25">
      <c r="A180" s="24"/>
      <c r="B180" s="51"/>
      <c r="C180" s="25"/>
      <c r="D180" s="25" t="s">
        <v>36</v>
      </c>
      <c r="E180" s="4">
        <v>1</v>
      </c>
      <c r="F180" s="4">
        <v>2.6585280859721894E-2</v>
      </c>
      <c r="G180" s="4">
        <v>86</v>
      </c>
      <c r="H180" s="4">
        <v>14190</v>
      </c>
      <c r="I180" s="4">
        <v>165</v>
      </c>
      <c r="J180" s="134"/>
      <c r="K180" s="18"/>
      <c r="L180" s="18"/>
      <c r="M180" s="18"/>
      <c r="N180">
        <v>533754</v>
      </c>
    </row>
    <row r="181" spans="1:14" x14ac:dyDescent="0.25">
      <c r="A181" s="24"/>
      <c r="B181" s="51"/>
      <c r="C181" s="25" t="s">
        <v>952</v>
      </c>
      <c r="D181" s="25" t="s">
        <v>36</v>
      </c>
      <c r="E181" s="4">
        <v>1</v>
      </c>
      <c r="F181" s="4">
        <v>1.9390955383940915E-2</v>
      </c>
      <c r="G181" s="4">
        <v>138</v>
      </c>
      <c r="H181" s="4">
        <v>10350</v>
      </c>
      <c r="I181" s="4">
        <v>75</v>
      </c>
      <c r="J181" s="134"/>
      <c r="K181" s="18"/>
      <c r="L181" s="18"/>
      <c r="M181" s="18"/>
      <c r="N181">
        <v>533754</v>
      </c>
    </row>
    <row r="182" spans="1:14" x14ac:dyDescent="0.25">
      <c r="A182" s="24"/>
      <c r="B182" s="80" t="s">
        <v>76</v>
      </c>
      <c r="C182" s="80"/>
      <c r="D182" s="80"/>
      <c r="E182" s="92">
        <v>5</v>
      </c>
      <c r="F182" s="92">
        <v>0.13564675861913914</v>
      </c>
      <c r="G182" s="92">
        <v>563</v>
      </c>
      <c r="H182" s="92">
        <v>72402</v>
      </c>
      <c r="I182" s="92">
        <v>654</v>
      </c>
      <c r="J182" s="135">
        <f>GETPIVOTDATA("Usuarios afec",$A$3,"SE","TXN","Circuito",4020)/N182</f>
        <v>1.2252835575939478E-3</v>
      </c>
      <c r="K182" s="103">
        <f>GETPIVOTDATA("Suma de DEMUA",$A$3,"SE","TXN","Circuito",4020)/GETPIVOTDATA("Usuarios afec",$A$3,"SE","TXN","Circuito",4020)</f>
        <v>110.70642201834862</v>
      </c>
      <c r="L182" s="103">
        <f>GETPIVOTDATA("Duracion",$A$3,"SE","TXN","Circuito",4020)/GETPIVOTDATA("NI",$A$3,"SE","TXN","Circuito",4020)</f>
        <v>112.6</v>
      </c>
      <c r="M182" s="103">
        <f>GETPIVOTDATA("Usuarios afec",$A$3,"SE","TXN","Circuito",4020)/GETPIVOTDATA("NI",$A$3,"SE","TXN","Circuito",4020)</f>
        <v>130.80000000000001</v>
      </c>
      <c r="N182">
        <v>533754</v>
      </c>
    </row>
    <row r="183" spans="1:14" x14ac:dyDescent="0.25">
      <c r="A183" s="24"/>
      <c r="B183" s="51">
        <v>4050</v>
      </c>
      <c r="C183" s="25" t="s">
        <v>410</v>
      </c>
      <c r="D183" s="25" t="s">
        <v>36</v>
      </c>
      <c r="E183" s="4">
        <v>1</v>
      </c>
      <c r="F183" s="4">
        <v>7.2243018319300648E-2</v>
      </c>
      <c r="G183" s="4">
        <v>241</v>
      </c>
      <c r="H183" s="4">
        <v>38560</v>
      </c>
      <c r="I183" s="4">
        <v>160</v>
      </c>
      <c r="J183" s="134"/>
      <c r="K183" s="18"/>
      <c r="L183" s="18"/>
      <c r="M183" s="18"/>
      <c r="N183">
        <v>533754</v>
      </c>
    </row>
    <row r="184" spans="1:14" x14ac:dyDescent="0.25">
      <c r="A184" s="24"/>
      <c r="B184" s="51"/>
      <c r="C184" s="25" t="s">
        <v>919</v>
      </c>
      <c r="D184" s="25" t="s">
        <v>36</v>
      </c>
      <c r="E184" s="4">
        <v>1</v>
      </c>
      <c r="F184" s="4">
        <v>1.1934336791855423E-2</v>
      </c>
      <c r="G184" s="4">
        <v>98</v>
      </c>
      <c r="H184" s="4">
        <v>6370</v>
      </c>
      <c r="I184" s="4">
        <v>65</v>
      </c>
      <c r="J184" s="134"/>
      <c r="K184" s="18"/>
      <c r="L184" s="18"/>
      <c r="M184" s="18"/>
      <c r="N184">
        <v>533754</v>
      </c>
    </row>
    <row r="185" spans="1:14" x14ac:dyDescent="0.25">
      <c r="A185" s="24"/>
      <c r="B185" s="80" t="s">
        <v>312</v>
      </c>
      <c r="C185" s="80"/>
      <c r="D185" s="80"/>
      <c r="E185" s="92">
        <v>2</v>
      </c>
      <c r="F185" s="92">
        <v>8.4177355111156066E-2</v>
      </c>
      <c r="G185" s="92">
        <v>339</v>
      </c>
      <c r="H185" s="92">
        <v>44930</v>
      </c>
      <c r="I185" s="92">
        <v>225</v>
      </c>
      <c r="J185" s="135">
        <f>GETPIVOTDATA("Usuarios afec",$A$3,"SE","TXN","Circuito",4050)/N185</f>
        <v>4.2154250834654168E-4</v>
      </c>
      <c r="K185" s="103">
        <f>GETPIVOTDATA("Suma de DEMUA",$A$3,"SE","TXN","Circuito",4050)/GETPIVOTDATA("Usuarios afec",$A$3,"SE","TXN","Circuito",4050)</f>
        <v>199.6888888888889</v>
      </c>
      <c r="L185" s="103">
        <f>GETPIVOTDATA("Duracion",$A$3,"SE","TXN","Circuito",4050)/GETPIVOTDATA("NI",$A$3,"SE","TXN","Circuito",4050)</f>
        <v>169.5</v>
      </c>
      <c r="M185" s="103">
        <f>GETPIVOTDATA("Usuarios afec",$A$3,"SE","TXN","Circuito",4050)/GETPIVOTDATA("NI",$A$3,"SE","TXN","Circuito",4050)</f>
        <v>112.5</v>
      </c>
      <c r="N185">
        <v>533754</v>
      </c>
    </row>
    <row r="186" spans="1:14" x14ac:dyDescent="0.25">
      <c r="A186" s="24"/>
      <c r="B186" s="51">
        <v>4040</v>
      </c>
      <c r="C186" s="25" t="s">
        <v>854</v>
      </c>
      <c r="D186" s="25" t="s">
        <v>36</v>
      </c>
      <c r="E186" s="4">
        <v>1</v>
      </c>
      <c r="F186" s="4">
        <v>1.7942722677488133E-2</v>
      </c>
      <c r="G186" s="4">
        <v>61</v>
      </c>
      <c r="H186" s="4">
        <v>9577</v>
      </c>
      <c r="I186" s="4">
        <v>157</v>
      </c>
      <c r="J186" s="134"/>
      <c r="K186" s="18"/>
      <c r="L186" s="18"/>
      <c r="M186" s="18"/>
      <c r="N186">
        <v>533754</v>
      </c>
    </row>
    <row r="187" spans="1:14" x14ac:dyDescent="0.25">
      <c r="A187" s="24"/>
      <c r="B187" s="80" t="s">
        <v>313</v>
      </c>
      <c r="C187" s="80"/>
      <c r="D187" s="80"/>
      <c r="E187" s="92">
        <v>1</v>
      </c>
      <c r="F187" s="92">
        <v>1.7942722677488133E-2</v>
      </c>
      <c r="G187" s="92">
        <v>61</v>
      </c>
      <c r="H187" s="92">
        <v>9577</v>
      </c>
      <c r="I187" s="92">
        <v>157</v>
      </c>
      <c r="J187" s="135">
        <f>GETPIVOTDATA("Usuarios afec",$A$3,"SE","TXN","Circuito",4040)/N187</f>
        <v>2.9414299471292016E-4</v>
      </c>
      <c r="K187" s="103">
        <f>GETPIVOTDATA("Suma de DEMUA",$A$3,"SE","TXN","Circuito",4040)/GETPIVOTDATA("Usuarios afec",$A$3,"SE","TXN","Circuito",4040)</f>
        <v>61</v>
      </c>
      <c r="L187" s="103">
        <f>GETPIVOTDATA("Duracion",$A$3,"SE","TXN","Circuito",4040)/GETPIVOTDATA("NI",$A$3,"SE","TXN","Circuito",4040)</f>
        <v>61</v>
      </c>
      <c r="M187" s="103">
        <f>GETPIVOTDATA("Usuarios afec",$A$3,"SE","TXN","Circuito",4040)/GETPIVOTDATA("NI",$A$3,"SE","TXN","Circuito",4040)</f>
        <v>157</v>
      </c>
      <c r="N187">
        <v>533754</v>
      </c>
    </row>
    <row r="188" spans="1:14" x14ac:dyDescent="0.25">
      <c r="A188" s="24"/>
      <c r="B188" s="51">
        <v>4060</v>
      </c>
      <c r="C188" s="25" t="s">
        <v>783</v>
      </c>
      <c r="D188" s="25" t="s">
        <v>108</v>
      </c>
      <c r="E188" s="4">
        <v>1</v>
      </c>
      <c r="F188" s="4">
        <v>1.0120767244835635E-2</v>
      </c>
      <c r="G188" s="4">
        <v>74</v>
      </c>
      <c r="H188" s="4">
        <v>5402</v>
      </c>
      <c r="I188" s="4">
        <v>73</v>
      </c>
      <c r="J188" s="134"/>
      <c r="K188" s="18"/>
      <c r="L188" s="18"/>
      <c r="M188" s="18"/>
      <c r="N188">
        <v>533754</v>
      </c>
    </row>
    <row r="189" spans="1:14" x14ac:dyDescent="0.25">
      <c r="A189" s="24"/>
      <c r="B189" s="80" t="s">
        <v>1014</v>
      </c>
      <c r="C189" s="80"/>
      <c r="D189" s="80"/>
      <c r="E189" s="92">
        <v>1</v>
      </c>
      <c r="F189" s="92">
        <v>1.0120767244835635E-2</v>
      </c>
      <c r="G189" s="92">
        <v>74</v>
      </c>
      <c r="H189" s="92">
        <v>5402</v>
      </c>
      <c r="I189" s="92">
        <v>73</v>
      </c>
      <c r="J189" s="135">
        <f>GETPIVOTDATA("Usuarios afec",$A$3,"SE","TXN","Circuito",4060)/N189</f>
        <v>1.3676712493021129E-4</v>
      </c>
      <c r="K189" s="103">
        <f>GETPIVOTDATA("Suma de DEMUA",$A$3,"SE","TXN","Circuito",4060)/GETPIVOTDATA("Usuarios afec",$A$3,"SE","TXN","Circuito",4060)</f>
        <v>74</v>
      </c>
      <c r="L189" s="103">
        <f>GETPIVOTDATA("Duracion",$A$3,"SE","TXN","Circuito",4060)/GETPIVOTDATA("NI",$A$3,"SE","TXN","Circuito",4060)</f>
        <v>74</v>
      </c>
      <c r="M189" s="103">
        <f>GETPIVOTDATA("Usuarios afec",$A$3,"SE","TXN","Circuito",4060)/GETPIVOTDATA("NI",$A$3,"SE","TXN","Circuito",4060)</f>
        <v>73</v>
      </c>
      <c r="N189">
        <v>533754</v>
      </c>
    </row>
    <row r="190" spans="1:14" x14ac:dyDescent="0.25">
      <c r="A190" s="24"/>
      <c r="B190" s="51">
        <v>4080</v>
      </c>
      <c r="C190" s="25" t="s">
        <v>518</v>
      </c>
      <c r="D190" s="25" t="s">
        <v>36</v>
      </c>
      <c r="E190" s="4">
        <v>1</v>
      </c>
      <c r="F190" s="4">
        <v>9.8921975291988446E-3</v>
      </c>
      <c r="G190" s="4">
        <v>88</v>
      </c>
      <c r="H190" s="4">
        <v>5280</v>
      </c>
      <c r="I190" s="4">
        <v>60</v>
      </c>
      <c r="J190" s="134"/>
      <c r="K190" s="18"/>
      <c r="L190" s="18"/>
      <c r="M190" s="18"/>
      <c r="N190">
        <v>533754</v>
      </c>
    </row>
    <row r="191" spans="1:14" x14ac:dyDescent="0.25">
      <c r="A191" s="24"/>
      <c r="B191" s="51"/>
      <c r="C191" s="25" t="s">
        <v>779</v>
      </c>
      <c r="D191" s="25" t="s">
        <v>35</v>
      </c>
      <c r="E191" s="4">
        <v>1</v>
      </c>
      <c r="F191" s="4">
        <v>9.5830663564113808E-3</v>
      </c>
      <c r="G191" s="4">
        <v>155</v>
      </c>
      <c r="H191" s="4">
        <v>5115</v>
      </c>
      <c r="I191" s="4">
        <v>33</v>
      </c>
      <c r="J191" s="134"/>
      <c r="K191" s="18"/>
      <c r="L191" s="18"/>
      <c r="M191" s="18"/>
      <c r="N191">
        <v>533754</v>
      </c>
    </row>
    <row r="192" spans="1:14" x14ac:dyDescent="0.25">
      <c r="A192" s="24"/>
      <c r="B192" s="80" t="s">
        <v>1028</v>
      </c>
      <c r="C192" s="80"/>
      <c r="D192" s="80"/>
      <c r="E192" s="92">
        <v>2</v>
      </c>
      <c r="F192" s="92">
        <v>1.9475263885610224E-2</v>
      </c>
      <c r="G192" s="92">
        <v>243</v>
      </c>
      <c r="H192" s="92">
        <v>10395</v>
      </c>
      <c r="I192" s="92">
        <v>93</v>
      </c>
      <c r="J192" s="135">
        <f>GETPIVOTDATA("Usuarios afec",$A$3,"SE","TXN","Circuito",4080)/N192</f>
        <v>1.7423757011657056E-4</v>
      </c>
      <c r="K192" s="103">
        <f>GETPIVOTDATA("Suma de DEMUA",$A$3,"SE","TXN","Circuito",4080)/GETPIVOTDATA("Usuarios afec",$A$3,"SE","TXN","Circuito",4080)</f>
        <v>111.7741935483871</v>
      </c>
      <c r="L192" s="103">
        <f>GETPIVOTDATA("Duracion",$A$3,"SE","TXN","Circuito",4080)/GETPIVOTDATA("NI",$A$3,"SE","TXN","Circuito",4080)</f>
        <v>121.5</v>
      </c>
      <c r="M192" s="103">
        <f>GETPIVOTDATA("Usuarios afec",$A$3,"SE","TXN","Circuito",4080)/GETPIVOTDATA("NI",$A$3,"SE","TXN","Circuito",4080)</f>
        <v>46.5</v>
      </c>
      <c r="N192">
        <v>533754</v>
      </c>
    </row>
    <row r="193" spans="1:14" x14ac:dyDescent="0.25">
      <c r="A193" s="24"/>
      <c r="B193" s="51">
        <v>4070</v>
      </c>
      <c r="C193" s="25" t="s">
        <v>776</v>
      </c>
      <c r="D193" s="25" t="s">
        <v>35</v>
      </c>
      <c r="E193" s="4">
        <v>1</v>
      </c>
      <c r="F193" s="4">
        <v>2.142934760207886E-2</v>
      </c>
      <c r="G193" s="4">
        <v>133</v>
      </c>
      <c r="H193" s="4">
        <v>11438</v>
      </c>
      <c r="I193" s="4">
        <v>86</v>
      </c>
      <c r="J193" s="134"/>
      <c r="K193" s="18"/>
      <c r="L193" s="18"/>
      <c r="M193" s="18"/>
      <c r="N193">
        <v>533754</v>
      </c>
    </row>
    <row r="194" spans="1:14" x14ac:dyDescent="0.25">
      <c r="A194" s="17"/>
      <c r="B194" s="80" t="s">
        <v>1015</v>
      </c>
      <c r="C194" s="80"/>
      <c r="D194" s="80"/>
      <c r="E194" s="92">
        <v>1</v>
      </c>
      <c r="F194" s="92">
        <v>2.142934760207886E-2</v>
      </c>
      <c r="G194" s="92">
        <v>133</v>
      </c>
      <c r="H194" s="92">
        <v>11438</v>
      </c>
      <c r="I194" s="92">
        <v>86</v>
      </c>
      <c r="J194" s="135">
        <f>GETPIVOTDATA("Usuarios afec",$A$3,"SE","TXN","Circuito",4070)/N194</f>
        <v>1.6112291430134482E-4</v>
      </c>
      <c r="K194" s="103">
        <f>GETPIVOTDATA("Suma de DEMUA",$A$3,"SE","TXN","Circuito",4070)/GETPIVOTDATA("Usuarios afec",$A$3,"SE","TXN","Circuito",4070)</f>
        <v>133</v>
      </c>
      <c r="L194" s="103">
        <f>GETPIVOTDATA("Duracion",$A$3,"SE","TXN","Circuito",4070)/GETPIVOTDATA("NI",$A$3,"SE","TXN","Circuito",4070)</f>
        <v>133</v>
      </c>
      <c r="M194" s="103">
        <f>GETPIVOTDATA("Usuarios afec",$A$3,"SE","TXN","Circuito",4070)/GETPIVOTDATA("NI",$A$3,"SE","TXN","Circuito",4070)</f>
        <v>86</v>
      </c>
      <c r="N194">
        <v>533754</v>
      </c>
    </row>
    <row r="195" spans="1:14" x14ac:dyDescent="0.25">
      <c r="A195" s="95" t="s">
        <v>1030</v>
      </c>
      <c r="B195" s="96"/>
      <c r="C195" s="96"/>
      <c r="D195" s="97"/>
      <c r="E195" s="98">
        <v>19</v>
      </c>
      <c r="F195" s="98">
        <v>0.47276460691629474</v>
      </c>
      <c r="G195" s="98">
        <v>2665</v>
      </c>
      <c r="H195" s="98">
        <v>252340</v>
      </c>
      <c r="I195" s="98">
        <v>1839</v>
      </c>
      <c r="J195" s="139">
        <f>GETPIVOTDATA("Usuarios afec",$A$3,"SE","TXN")/N195</f>
        <v>3.4454074348857339E-3</v>
      </c>
      <c r="K195" s="104">
        <f>GETPIVOTDATA("Suma de DEMUA",$A$3,"SE","TXN")/GETPIVOTDATA("Usuarios afec",$A$3,"SE","TXN")</f>
        <v>137.21587819467101</v>
      </c>
      <c r="L195" s="104">
        <f>GETPIVOTDATA("Duracion",$A$3,"SE","TXN")/GETPIVOTDATA("NI",$A$3,"SE","TXN")</f>
        <v>140.26315789473685</v>
      </c>
      <c r="M195" s="104">
        <f>GETPIVOTDATA("Usuarios afec",$A$3,"SE","TXN")/GETPIVOTDATA("NI",$A$3,"SE","TXN")</f>
        <v>96.78947368421052</v>
      </c>
      <c r="N195">
        <v>533754</v>
      </c>
    </row>
    <row r="196" spans="1:14" x14ac:dyDescent="0.25">
      <c r="A196" s="23" t="s">
        <v>330</v>
      </c>
      <c r="B196" s="51">
        <v>4020</v>
      </c>
      <c r="C196" s="79" t="s">
        <v>597</v>
      </c>
      <c r="D196" s="79" t="s">
        <v>36</v>
      </c>
      <c r="E196" s="4">
        <v>1</v>
      </c>
      <c r="F196" s="4">
        <v>6.0792050270349264E-2</v>
      </c>
      <c r="G196" s="4">
        <v>338</v>
      </c>
      <c r="H196" s="4">
        <v>32448</v>
      </c>
      <c r="I196" s="4">
        <v>96</v>
      </c>
      <c r="J196" s="134"/>
      <c r="K196" s="18"/>
      <c r="L196" s="18"/>
      <c r="M196" s="18"/>
      <c r="N196">
        <v>533754</v>
      </c>
    </row>
    <row r="197" spans="1:14" x14ac:dyDescent="0.25">
      <c r="A197" s="24"/>
      <c r="B197" s="51"/>
      <c r="C197" s="25" t="s">
        <v>982</v>
      </c>
      <c r="D197" s="79" t="s">
        <v>35</v>
      </c>
      <c r="E197" s="4">
        <v>1</v>
      </c>
      <c r="F197" s="4">
        <v>5.8468882668794991E-2</v>
      </c>
      <c r="G197" s="4">
        <v>188</v>
      </c>
      <c r="H197" s="4">
        <v>31208</v>
      </c>
      <c r="I197" s="4">
        <v>166</v>
      </c>
      <c r="J197" s="134"/>
      <c r="K197" s="18"/>
      <c r="L197" s="18"/>
      <c r="M197" s="18"/>
      <c r="N197">
        <v>533754</v>
      </c>
    </row>
    <row r="198" spans="1:14" x14ac:dyDescent="0.25">
      <c r="A198" s="24"/>
      <c r="B198" s="51"/>
      <c r="C198" s="25" t="s">
        <v>1001</v>
      </c>
      <c r="D198" s="79" t="s">
        <v>36</v>
      </c>
      <c r="E198" s="4">
        <v>1</v>
      </c>
      <c r="F198" s="4">
        <v>2.5963271469628332E-2</v>
      </c>
      <c r="G198" s="4">
        <v>169</v>
      </c>
      <c r="H198" s="4">
        <v>13858</v>
      </c>
      <c r="I198" s="4">
        <v>82</v>
      </c>
      <c r="J198" s="134"/>
      <c r="K198" s="18"/>
      <c r="L198" s="18"/>
      <c r="M198" s="18"/>
      <c r="N198">
        <v>533754</v>
      </c>
    </row>
    <row r="199" spans="1:14" x14ac:dyDescent="0.25">
      <c r="A199" s="24"/>
      <c r="B199" s="80" t="s">
        <v>76</v>
      </c>
      <c r="C199" s="80"/>
      <c r="D199" s="80"/>
      <c r="E199" s="92">
        <v>3</v>
      </c>
      <c r="F199" s="92">
        <v>0.14522420440877259</v>
      </c>
      <c r="G199" s="92">
        <v>695</v>
      </c>
      <c r="H199" s="92">
        <v>77514</v>
      </c>
      <c r="I199" s="92">
        <v>344</v>
      </c>
      <c r="J199" s="135">
        <f>GETPIVOTDATA("Usuarios afec",$A$3,"SE","TXS","Circuito",4020)/N199</f>
        <v>6.4449165720537928E-4</v>
      </c>
      <c r="K199" s="103">
        <f>GETPIVOTDATA("Suma de DEMUA",$A$3,"SE","TXS","Circuito",4020)/GETPIVOTDATA("Usuarios afec",$A$3,"SE","TXS","Circuito",4020)</f>
        <v>225.33139534883722</v>
      </c>
      <c r="L199" s="103">
        <f>GETPIVOTDATA("Duracion",$A$3,"SE","TXS","Circuito",4020)/GETPIVOTDATA("NI",$A$3,"SE","TXS","Circuito",4020)</f>
        <v>231.66666666666666</v>
      </c>
      <c r="M199" s="103">
        <f>GETPIVOTDATA("Usuarios afec",$A$3,"SE","TXS","Circuito",4020)/GETPIVOTDATA("NI",$A$3,"SE","TXS","Circuito",4020)</f>
        <v>114.66666666666667</v>
      </c>
      <c r="N199">
        <v>533754</v>
      </c>
    </row>
    <row r="200" spans="1:14" x14ac:dyDescent="0.25">
      <c r="A200" s="24"/>
      <c r="B200" s="23">
        <v>4030</v>
      </c>
      <c r="C200" s="2" t="s">
        <v>332</v>
      </c>
      <c r="D200" s="2" t="s">
        <v>35</v>
      </c>
      <c r="E200" s="4">
        <v>1</v>
      </c>
      <c r="F200" s="4">
        <v>3.6837194662709787E-2</v>
      </c>
      <c r="G200" s="4">
        <v>339</v>
      </c>
      <c r="H200" s="4">
        <v>19662</v>
      </c>
      <c r="I200" s="4">
        <v>58</v>
      </c>
      <c r="J200" s="134"/>
      <c r="K200" s="18"/>
      <c r="L200" s="18"/>
      <c r="M200" s="18"/>
      <c r="N200">
        <v>533754</v>
      </c>
    </row>
    <row r="201" spans="1:14" x14ac:dyDescent="0.25">
      <c r="A201" s="24"/>
      <c r="B201" s="24"/>
      <c r="C201" s="2" t="s">
        <v>761</v>
      </c>
      <c r="D201" s="2" t="s">
        <v>35</v>
      </c>
      <c r="E201" s="4">
        <v>1</v>
      </c>
      <c r="F201" s="4">
        <v>1.6693083330523051E-2</v>
      </c>
      <c r="G201" s="4">
        <v>495</v>
      </c>
      <c r="H201" s="4">
        <v>8910</v>
      </c>
      <c r="I201" s="4">
        <v>18</v>
      </c>
      <c r="J201" s="134"/>
      <c r="K201" s="18"/>
      <c r="L201" s="18"/>
      <c r="M201" s="18"/>
      <c r="N201">
        <v>533754</v>
      </c>
    </row>
    <row r="202" spans="1:14" x14ac:dyDescent="0.25">
      <c r="A202" s="24"/>
      <c r="B202" s="24"/>
      <c r="C202" s="2" t="s">
        <v>879</v>
      </c>
      <c r="D202" s="2" t="s">
        <v>109</v>
      </c>
      <c r="E202" s="4">
        <v>1</v>
      </c>
      <c r="F202" s="4">
        <v>1.1396635903431169E-2</v>
      </c>
      <c r="G202" s="4">
        <v>553</v>
      </c>
      <c r="H202" s="4">
        <v>6083</v>
      </c>
      <c r="I202" s="4">
        <v>11</v>
      </c>
      <c r="J202" s="134"/>
      <c r="K202" s="18"/>
      <c r="L202" s="18"/>
      <c r="M202" s="18"/>
      <c r="N202">
        <v>533754</v>
      </c>
    </row>
    <row r="203" spans="1:14" x14ac:dyDescent="0.25">
      <c r="A203" s="24"/>
      <c r="B203" s="24"/>
      <c r="C203" s="2" t="s">
        <v>898</v>
      </c>
      <c r="D203" s="2" t="s">
        <v>1005</v>
      </c>
      <c r="E203" s="4">
        <v>1</v>
      </c>
      <c r="F203" s="4">
        <v>0.15156045668978593</v>
      </c>
      <c r="G203" s="4">
        <v>1576</v>
      </c>
      <c r="H203" s="4">
        <v>80896</v>
      </c>
      <c r="I203" s="4">
        <v>117</v>
      </c>
      <c r="J203" s="134"/>
      <c r="K203" s="18"/>
      <c r="L203" s="18"/>
      <c r="M203" s="18"/>
      <c r="N203">
        <v>533754</v>
      </c>
    </row>
    <row r="204" spans="1:14" x14ac:dyDescent="0.25">
      <c r="A204" s="24"/>
      <c r="B204" s="24"/>
      <c r="C204" s="2" t="s">
        <v>882</v>
      </c>
      <c r="D204" s="2" t="s">
        <v>35</v>
      </c>
      <c r="E204" s="4">
        <v>1</v>
      </c>
      <c r="F204" s="4">
        <v>8.1498218280331384E-3</v>
      </c>
      <c r="G204" s="4">
        <v>150</v>
      </c>
      <c r="H204" s="4">
        <v>4350</v>
      </c>
      <c r="I204" s="4">
        <v>29</v>
      </c>
      <c r="J204" s="134"/>
      <c r="K204" s="18"/>
      <c r="L204" s="18"/>
      <c r="M204" s="18"/>
      <c r="N204">
        <v>533754</v>
      </c>
    </row>
    <row r="205" spans="1:14" x14ac:dyDescent="0.25">
      <c r="A205" s="24"/>
      <c r="B205" s="24"/>
      <c r="C205" s="51" t="s">
        <v>659</v>
      </c>
      <c r="D205" s="2" t="s">
        <v>36</v>
      </c>
      <c r="E205" s="4">
        <v>1</v>
      </c>
      <c r="F205" s="4">
        <v>1.925980882578866E-3</v>
      </c>
      <c r="G205" s="4">
        <v>514</v>
      </c>
      <c r="H205" s="4">
        <v>1028</v>
      </c>
      <c r="I205" s="4">
        <v>2</v>
      </c>
      <c r="J205" s="134"/>
      <c r="K205" s="18"/>
      <c r="L205" s="18"/>
      <c r="M205" s="18"/>
      <c r="N205">
        <v>533754</v>
      </c>
    </row>
    <row r="206" spans="1:14" x14ac:dyDescent="0.25">
      <c r="A206" s="24"/>
      <c r="B206" s="17"/>
      <c r="C206" s="51" t="s">
        <v>667</v>
      </c>
      <c r="D206" s="2" t="s">
        <v>36</v>
      </c>
      <c r="E206" s="4">
        <v>1</v>
      </c>
      <c r="F206" s="4">
        <v>2.0837314568134382E-2</v>
      </c>
      <c r="G206" s="4">
        <v>134</v>
      </c>
      <c r="H206" s="4">
        <v>11122</v>
      </c>
      <c r="I206" s="4">
        <v>83</v>
      </c>
      <c r="J206" s="134"/>
      <c r="K206" s="18"/>
      <c r="L206" s="18"/>
      <c r="M206" s="18"/>
      <c r="N206">
        <v>533754</v>
      </c>
    </row>
    <row r="207" spans="1:14" x14ac:dyDescent="0.25">
      <c r="A207" s="24"/>
      <c r="B207" s="89" t="s">
        <v>77</v>
      </c>
      <c r="C207" s="90"/>
      <c r="D207" s="91"/>
      <c r="E207" s="92">
        <v>7</v>
      </c>
      <c r="F207" s="92">
        <v>0.24740048786519631</v>
      </c>
      <c r="G207" s="92">
        <v>3761</v>
      </c>
      <c r="H207" s="92">
        <v>132051</v>
      </c>
      <c r="I207" s="92">
        <v>318</v>
      </c>
      <c r="J207" s="135">
        <f>GETPIVOTDATA("Usuarios afec",$A$3,"SE","TXS","Circuito",4030)/N207</f>
        <v>5.9578007846311227E-4</v>
      </c>
      <c r="K207" s="103">
        <f>GETPIVOTDATA("Suma de DEMUA",$A$3,"SE","TXS","Circuito",4030)/GETPIVOTDATA("Usuarios afec",$A$3,"SE","TXS","Circuito",4030)</f>
        <v>415.25471698113205</v>
      </c>
      <c r="L207" s="103">
        <f>GETPIVOTDATA("Duracion",$A$3,"SE","TXS","Circuito",4030)/GETPIVOTDATA("NI",$A$3,"SE","TXS","Circuito",4030)</f>
        <v>537.28571428571433</v>
      </c>
      <c r="M207" s="103">
        <f>GETPIVOTDATA("Usuarios afec",$A$3,"SE","TXS","Circuito",4030)/GETPIVOTDATA("NI",$A$3,"SE","TXS","Circuito",4030)</f>
        <v>45.428571428571431</v>
      </c>
      <c r="N207">
        <v>533754</v>
      </c>
    </row>
    <row r="208" spans="1:14" x14ac:dyDescent="0.25">
      <c r="A208" s="24"/>
      <c r="B208" s="51">
        <v>4040</v>
      </c>
      <c r="C208" s="51" t="s">
        <v>993</v>
      </c>
      <c r="D208" s="2" t="s">
        <v>36</v>
      </c>
      <c r="E208" s="4">
        <v>1</v>
      </c>
      <c r="F208" s="4">
        <v>3.2470014276239613E-2</v>
      </c>
      <c r="G208" s="4">
        <v>159</v>
      </c>
      <c r="H208" s="4">
        <v>17331</v>
      </c>
      <c r="I208" s="4">
        <v>109</v>
      </c>
      <c r="J208" s="134"/>
      <c r="K208" s="18"/>
      <c r="L208" s="18"/>
      <c r="M208" s="18"/>
      <c r="N208">
        <v>533754</v>
      </c>
    </row>
    <row r="209" spans="1:14" x14ac:dyDescent="0.25">
      <c r="A209" s="24"/>
      <c r="B209" s="80" t="s">
        <v>313</v>
      </c>
      <c r="C209" s="80"/>
      <c r="D209" s="80"/>
      <c r="E209" s="92">
        <v>1</v>
      </c>
      <c r="F209" s="92">
        <v>3.2470014276239613E-2</v>
      </c>
      <c r="G209" s="92">
        <v>159</v>
      </c>
      <c r="H209" s="92">
        <v>17331</v>
      </c>
      <c r="I209" s="92">
        <v>109</v>
      </c>
      <c r="J209" s="135">
        <f>GETPIVOTDATA("Usuarios afec",$A$3,"SE","TXS","Circuito",4040)/N209</f>
        <v>2.0421392626565797E-4</v>
      </c>
      <c r="K209" s="103">
        <f>GETPIVOTDATA("Suma de DEMUA",$A$3,"SE","TXS","Circuito",4040)/GETPIVOTDATA("Usuarios afec",$A$3,"SE","TXS","Circuito",4040)</f>
        <v>159</v>
      </c>
      <c r="L209" s="103">
        <f>GETPIVOTDATA("Duracion",$A$3,"SE","TXS","Circuito",4040)/GETPIVOTDATA("NI",$A$3,"SE","TXS","Circuito",4040)</f>
        <v>159</v>
      </c>
      <c r="M209" s="103">
        <f>GETPIVOTDATA("Usuarios afec",$A$3,"SE","TXS","Circuito",4040)/GETPIVOTDATA("NI",$A$3,"SE","TXS","Circuito",4040)</f>
        <v>109</v>
      </c>
      <c r="N209">
        <v>533754</v>
      </c>
    </row>
    <row r="210" spans="1:14" x14ac:dyDescent="0.25">
      <c r="A210" s="24"/>
      <c r="B210" s="51">
        <v>4052</v>
      </c>
      <c r="C210" s="51" t="s">
        <v>968</v>
      </c>
      <c r="D210" s="2" t="s">
        <v>35</v>
      </c>
      <c r="E210" s="4">
        <v>1</v>
      </c>
      <c r="F210" s="4">
        <v>1.3725424071763397E-2</v>
      </c>
      <c r="G210" s="4">
        <v>74</v>
      </c>
      <c r="H210" s="4">
        <v>7326</v>
      </c>
      <c r="I210" s="4">
        <v>99</v>
      </c>
      <c r="J210" s="134"/>
      <c r="K210" s="18"/>
      <c r="L210" s="18"/>
      <c r="M210" s="18"/>
      <c r="N210">
        <v>533754</v>
      </c>
    </row>
    <row r="211" spans="1:14" x14ac:dyDescent="0.25">
      <c r="A211" s="17"/>
      <c r="B211" s="80" t="s">
        <v>1022</v>
      </c>
      <c r="C211" s="80"/>
      <c r="D211" s="80"/>
      <c r="E211" s="92">
        <v>1</v>
      </c>
      <c r="F211" s="92">
        <v>1.3725424071763397E-2</v>
      </c>
      <c r="G211" s="92">
        <v>74</v>
      </c>
      <c r="H211" s="92">
        <v>7326</v>
      </c>
      <c r="I211" s="92">
        <v>99</v>
      </c>
      <c r="J211" s="135">
        <f>GETPIVOTDATA("Usuarios afec",$A$3,"SE","TXS","Circuito",4052)/N211</f>
        <v>1.8547870367247832E-4</v>
      </c>
      <c r="K211" s="103">
        <f>GETPIVOTDATA("Suma de DEMUA",$A$3,"SE","TXS","Circuito",4052)/GETPIVOTDATA("Usuarios afec",$A$3,"SE","TXS","Circuito",4052)</f>
        <v>74</v>
      </c>
      <c r="L211" s="103">
        <f>GETPIVOTDATA("Duracion",$A$3,"SE","TXS","Circuito",4052)/GETPIVOTDATA("NI",$A$3,"SE","TXS","Circuito",4052)</f>
        <v>74</v>
      </c>
      <c r="M211" s="103">
        <f>GETPIVOTDATA("Usuarios afec",$A$3,"SE","TXS","Circuito",4052)/GETPIVOTDATA("NI",$A$3,"SE","TXS","Circuito",4052)</f>
        <v>99</v>
      </c>
      <c r="N211">
        <v>533754</v>
      </c>
    </row>
    <row r="212" spans="1:14" x14ac:dyDescent="0.25">
      <c r="A212" s="95" t="s">
        <v>1023</v>
      </c>
      <c r="B212" s="96"/>
      <c r="C212" s="96"/>
      <c r="D212" s="97"/>
      <c r="E212" s="98">
        <v>12</v>
      </c>
      <c r="F212" s="98">
        <v>0.438820130621972</v>
      </c>
      <c r="G212" s="98">
        <v>4689</v>
      </c>
      <c r="H212" s="98">
        <v>234222</v>
      </c>
      <c r="I212" s="98">
        <v>870</v>
      </c>
      <c r="J212" s="139">
        <f>GETPIVOTDATA("Usuarios afec",$A$3,"SE","TXS")/N212</f>
        <v>1.6299643656066277E-3</v>
      </c>
      <c r="K212" s="104">
        <f>GETPIVOTDATA("Suma de DEMUA",$A$3,"SE","TXS")/GETPIVOTDATA("Usuarios afec",$A$3,"SE","TXS")</f>
        <v>269.22068965517241</v>
      </c>
      <c r="L212" s="104">
        <f>GETPIVOTDATA("Duracion",$A$3,"SE","TXS")/GETPIVOTDATA("NI",$A$3,"SE","TXS")</f>
        <v>390.75</v>
      </c>
      <c r="M212" s="104">
        <f>GETPIVOTDATA("Usuarios afec",$A$3,"SE","TXS")/GETPIVOTDATA("NI",$A$3,"SE","TXS")</f>
        <v>72.5</v>
      </c>
      <c r="N212">
        <v>533754</v>
      </c>
    </row>
    <row r="213" spans="1:14" x14ac:dyDescent="0.25">
      <c r="A213" s="23" t="s">
        <v>214</v>
      </c>
      <c r="B213" s="51">
        <v>4020</v>
      </c>
      <c r="C213" s="25" t="s">
        <v>220</v>
      </c>
      <c r="D213" s="25" t="s">
        <v>36</v>
      </c>
      <c r="E213" s="4">
        <v>1</v>
      </c>
      <c r="F213" s="4">
        <v>1.6786759443488949E-2</v>
      </c>
      <c r="G213" s="4">
        <v>160</v>
      </c>
      <c r="H213" s="4">
        <v>8960</v>
      </c>
      <c r="I213" s="4">
        <v>56</v>
      </c>
      <c r="J213" s="134"/>
      <c r="K213" s="18"/>
      <c r="L213" s="18"/>
      <c r="M213" s="18"/>
      <c r="N213">
        <v>533754</v>
      </c>
    </row>
    <row r="214" spans="1:14" x14ac:dyDescent="0.25">
      <c r="A214" s="24"/>
      <c r="B214" s="80" t="s">
        <v>76</v>
      </c>
      <c r="C214" s="80"/>
      <c r="D214" s="80"/>
      <c r="E214" s="92">
        <v>1</v>
      </c>
      <c r="F214" s="92">
        <v>1.6786759443488949E-2</v>
      </c>
      <c r="G214" s="92">
        <v>160</v>
      </c>
      <c r="H214" s="92">
        <v>8960</v>
      </c>
      <c r="I214" s="92">
        <v>56</v>
      </c>
      <c r="J214" s="135">
        <f>GETPIVOTDATA("Usuarios afec",$A$3,"SE","OCZ","Circuito",4020)/N214</f>
        <v>1.0491724652180592E-4</v>
      </c>
      <c r="K214" s="103">
        <f>GETPIVOTDATA("Suma de DEMUA",$A$3,"SE","OCZ","Circuito",4020)/GETPIVOTDATA("Usuarios afec",$A$3,"SE","OCZ","Circuito",4020)</f>
        <v>160</v>
      </c>
      <c r="L214" s="103">
        <f>GETPIVOTDATA("Duracion",$A$3,"SE","OCZ","Circuito",4020)/GETPIVOTDATA("NI",$A$3,"SE","OCZ","Circuito",4020)</f>
        <v>160</v>
      </c>
      <c r="M214" s="103">
        <f>GETPIVOTDATA("Usuarios afec",$A$3,"SE","OCZ","Circuito",4020)/GETPIVOTDATA("NI",$A$3,"SE","OCZ","Circuito",4020)</f>
        <v>56</v>
      </c>
      <c r="N214">
        <v>533754</v>
      </c>
    </row>
    <row r="215" spans="1:14" x14ac:dyDescent="0.25">
      <c r="A215" s="24"/>
      <c r="B215" s="51">
        <v>4030</v>
      </c>
      <c r="C215" s="25" t="s">
        <v>291</v>
      </c>
      <c r="D215" s="25" t="s">
        <v>107</v>
      </c>
      <c r="E215" s="4">
        <v>1</v>
      </c>
      <c r="F215" s="4">
        <v>2.195393383468789E-2</v>
      </c>
      <c r="G215" s="4">
        <v>186</v>
      </c>
      <c r="H215" s="4">
        <v>11718</v>
      </c>
      <c r="I215" s="4">
        <v>63</v>
      </c>
      <c r="J215" s="134"/>
      <c r="K215" s="18"/>
      <c r="L215" s="18"/>
      <c r="M215" s="18"/>
      <c r="N215">
        <v>533754</v>
      </c>
    </row>
    <row r="216" spans="1:14" x14ac:dyDescent="0.25">
      <c r="A216" s="24"/>
      <c r="B216" s="80" t="s">
        <v>77</v>
      </c>
      <c r="C216" s="80"/>
      <c r="D216" s="80"/>
      <c r="E216" s="92">
        <v>1</v>
      </c>
      <c r="F216" s="92">
        <v>2.195393383468789E-2</v>
      </c>
      <c r="G216" s="92">
        <v>186</v>
      </c>
      <c r="H216" s="92">
        <v>11718</v>
      </c>
      <c r="I216" s="92">
        <v>63</v>
      </c>
      <c r="J216" s="135">
        <f>GETPIVOTDATA("Usuarios afec",$A$3,"SE","OCZ","Circuito",4030)/N216</f>
        <v>1.1803190233703167E-4</v>
      </c>
      <c r="K216" s="103">
        <f>GETPIVOTDATA("Suma de DEMUA",$A$3,"SE","OCZ","Circuito",4030)/GETPIVOTDATA("Usuarios afec",$A$3,"SE","OCZ","Circuito",4030)</f>
        <v>186</v>
      </c>
      <c r="L216" s="103">
        <f>GETPIVOTDATA("Duracion",$A$3,"SE","OCZ","Circuito",4030)/GETPIVOTDATA("NI",$A$3,"SE","OCZ","Circuito",4030)</f>
        <v>186</v>
      </c>
      <c r="M216" s="103">
        <f>GETPIVOTDATA("Usuarios afec",$A$3,"SE","OCZ","Circuito",4030)</f>
        <v>63</v>
      </c>
      <c r="N216">
        <v>533754</v>
      </c>
    </row>
    <row r="217" spans="1:14" x14ac:dyDescent="0.25">
      <c r="A217" s="24"/>
      <c r="B217" s="51">
        <v>4050</v>
      </c>
      <c r="C217" s="25" t="s">
        <v>216</v>
      </c>
      <c r="D217" s="25" t="s">
        <v>35</v>
      </c>
      <c r="E217" s="4">
        <v>1</v>
      </c>
      <c r="F217" s="4">
        <v>6.8379815420587006E-2</v>
      </c>
      <c r="G217" s="4">
        <v>158</v>
      </c>
      <c r="H217" s="4">
        <v>36498</v>
      </c>
      <c r="I217" s="4">
        <v>231</v>
      </c>
      <c r="J217" s="134"/>
      <c r="K217" s="18"/>
      <c r="L217" s="18"/>
      <c r="M217" s="18"/>
      <c r="N217">
        <v>533754</v>
      </c>
    </row>
    <row r="218" spans="1:14" x14ac:dyDescent="0.25">
      <c r="A218" s="24"/>
      <c r="B218" s="51"/>
      <c r="C218" s="25" t="s">
        <v>242</v>
      </c>
      <c r="D218" s="25" t="s">
        <v>321</v>
      </c>
      <c r="E218" s="4">
        <v>1</v>
      </c>
      <c r="F218" s="4">
        <v>1.9664489633801338E-2</v>
      </c>
      <c r="G218" s="4">
        <v>256</v>
      </c>
      <c r="H218" s="4">
        <v>10496</v>
      </c>
      <c r="I218" s="4">
        <v>41</v>
      </c>
      <c r="J218" s="134"/>
      <c r="K218" s="18"/>
      <c r="L218" s="18"/>
      <c r="M218" s="18"/>
      <c r="N218">
        <v>533754</v>
      </c>
    </row>
    <row r="219" spans="1:14" x14ac:dyDescent="0.25">
      <c r="A219" s="24"/>
      <c r="B219" s="51"/>
      <c r="C219" s="25" t="s">
        <v>250</v>
      </c>
      <c r="D219" s="25" t="s">
        <v>108</v>
      </c>
      <c r="E219" s="4">
        <v>1</v>
      </c>
      <c r="F219" s="4">
        <v>6.1451530105629183E-2</v>
      </c>
      <c r="G219" s="4">
        <v>410</v>
      </c>
      <c r="H219" s="4">
        <v>32800</v>
      </c>
      <c r="I219" s="4">
        <v>80</v>
      </c>
      <c r="J219" s="134"/>
      <c r="K219" s="18"/>
      <c r="L219" s="18"/>
      <c r="M219" s="18"/>
      <c r="N219">
        <v>533754</v>
      </c>
    </row>
    <row r="220" spans="1:14" x14ac:dyDescent="0.25">
      <c r="A220" s="24"/>
      <c r="B220" s="51"/>
      <c r="C220" s="25" t="s">
        <v>277</v>
      </c>
      <c r="D220" s="25" t="s">
        <v>108</v>
      </c>
      <c r="E220" s="4">
        <v>1</v>
      </c>
      <c r="F220" s="4">
        <v>6.9769968937000937E-2</v>
      </c>
      <c r="G220" s="4">
        <v>1064</v>
      </c>
      <c r="H220" s="4">
        <v>37240</v>
      </c>
      <c r="I220" s="4">
        <v>35</v>
      </c>
      <c r="J220" s="134"/>
      <c r="K220" s="18"/>
      <c r="L220" s="18"/>
      <c r="M220" s="18"/>
      <c r="N220">
        <v>533754</v>
      </c>
    </row>
    <row r="221" spans="1:14" x14ac:dyDescent="0.25">
      <c r="A221" s="24"/>
      <c r="B221" s="51"/>
      <c r="C221" s="25" t="s">
        <v>298</v>
      </c>
      <c r="D221" s="25" t="s">
        <v>44</v>
      </c>
      <c r="E221" s="4">
        <v>1</v>
      </c>
      <c r="F221" s="4">
        <v>3.5034866249245906E-2</v>
      </c>
      <c r="G221" s="4">
        <v>220</v>
      </c>
      <c r="H221" s="4">
        <v>18700</v>
      </c>
      <c r="I221" s="4">
        <v>85</v>
      </c>
      <c r="J221" s="134"/>
      <c r="K221" s="18"/>
      <c r="L221" s="18"/>
      <c r="M221" s="18"/>
      <c r="N221">
        <v>533754</v>
      </c>
    </row>
    <row r="222" spans="1:14" x14ac:dyDescent="0.25">
      <c r="A222" s="24"/>
      <c r="B222" s="80" t="s">
        <v>312</v>
      </c>
      <c r="C222" s="80"/>
      <c r="D222" s="80"/>
      <c r="E222" s="92">
        <v>5</v>
      </c>
      <c r="F222" s="92">
        <v>0.25430067034626436</v>
      </c>
      <c r="G222" s="92">
        <v>2108</v>
      </c>
      <c r="H222" s="92">
        <v>135734</v>
      </c>
      <c r="I222" s="92">
        <v>472</v>
      </c>
      <c r="J222" s="135">
        <f>GETPIVOTDATA("Usuarios afec",$A$3,"SE","OCZ","Circuito",4050)/N222</f>
        <v>8.8430250639807853E-4</v>
      </c>
      <c r="K222" s="103">
        <f>GETPIVOTDATA("Suma de DEMUA",$A$3,"SE","OCZ","Circuito",4050)/GETPIVOTDATA("Usuarios afec",$A$3,"SE","OCZ","Circuito",4050)</f>
        <v>287.57203389830511</v>
      </c>
      <c r="L222" s="103">
        <f>GETPIVOTDATA("Duracion",$A$3,"SE","OCZ","Circuito",4050)/GETPIVOTDATA("NI",$A$3,"SE","OCZ","Circuito",4050)</f>
        <v>421.6</v>
      </c>
      <c r="M222" s="103">
        <f>GETPIVOTDATA("Usuarios afec",$A$3,"SE","OCZ","Circuito",4050)/GETPIVOTDATA("NI",$A$3,"SE","OCZ","Circuito",4050)</f>
        <v>94.4</v>
      </c>
      <c r="N222">
        <v>533754</v>
      </c>
    </row>
    <row r="223" spans="1:14" x14ac:dyDescent="0.25">
      <c r="A223" s="24"/>
      <c r="B223" s="51">
        <v>4040</v>
      </c>
      <c r="C223" s="25" t="s">
        <v>236</v>
      </c>
      <c r="D223" s="25" t="s">
        <v>35</v>
      </c>
      <c r="E223" s="4">
        <v>1</v>
      </c>
      <c r="F223" s="4">
        <v>6.5947983527992297E-3</v>
      </c>
      <c r="G223" s="4">
        <v>352</v>
      </c>
      <c r="H223" s="4">
        <v>3520</v>
      </c>
      <c r="I223" s="4">
        <v>10</v>
      </c>
      <c r="J223" s="134"/>
      <c r="K223" s="18"/>
      <c r="L223" s="18"/>
      <c r="M223" s="18"/>
      <c r="N223">
        <v>533754</v>
      </c>
    </row>
    <row r="224" spans="1:14" x14ac:dyDescent="0.25">
      <c r="A224" s="24"/>
      <c r="B224" s="51"/>
      <c r="C224" s="25" t="s">
        <v>272</v>
      </c>
      <c r="D224" s="25" t="s">
        <v>109</v>
      </c>
      <c r="E224" s="4">
        <v>1</v>
      </c>
      <c r="F224" s="4">
        <v>0.12125810766757719</v>
      </c>
      <c r="G224" s="4">
        <v>938</v>
      </c>
      <c r="H224" s="4">
        <v>64722</v>
      </c>
      <c r="I224" s="4">
        <v>69</v>
      </c>
      <c r="J224" s="134"/>
      <c r="K224" s="18"/>
      <c r="L224" s="18"/>
      <c r="M224" s="18"/>
      <c r="N224">
        <v>533754</v>
      </c>
    </row>
    <row r="225" spans="1:14" x14ac:dyDescent="0.25">
      <c r="A225" s="17"/>
      <c r="B225" s="80" t="s">
        <v>313</v>
      </c>
      <c r="C225" s="80"/>
      <c r="D225" s="80"/>
      <c r="E225" s="92">
        <v>2</v>
      </c>
      <c r="F225" s="92">
        <v>0.12785290602037641</v>
      </c>
      <c r="G225" s="92">
        <v>1290</v>
      </c>
      <c r="H225" s="92">
        <v>68242</v>
      </c>
      <c r="I225" s="92">
        <v>79</v>
      </c>
      <c r="J225" s="135">
        <f>GETPIVOTDATA("Usuarios afec",$A$3,"SE","OCZ","Circuito",4040)/N225</f>
        <v>1.4800825848611908E-4</v>
      </c>
      <c r="K225" s="103">
        <f>GETPIVOTDATA("Suma de DEMUA",$A$3,"SE","OCZ","Circuito",4040)/GETPIVOTDATA("Usuarios afec",$A$3,"SE","OCZ","Circuito",4040)</f>
        <v>863.82278481012656</v>
      </c>
      <c r="L225" s="103">
        <f>GETPIVOTDATA("Duracion",$A$3,"SE","OCZ","Circuito",4040)/GETPIVOTDATA("NI",$A$3,"SE","OCZ","Circuito",4040)</f>
        <v>645</v>
      </c>
      <c r="M225" s="103">
        <f>GETPIVOTDATA("Usuarios afec",$A$3,"SE","OCZ","Circuito",4040)/GETPIVOTDATA("NI",$A$3,"SE","OCZ","Circuito",4040)</f>
        <v>39.5</v>
      </c>
      <c r="N225">
        <v>533754</v>
      </c>
    </row>
    <row r="226" spans="1:14" x14ac:dyDescent="0.25">
      <c r="A226" s="95" t="s">
        <v>314</v>
      </c>
      <c r="B226" s="96"/>
      <c r="C226" s="96"/>
      <c r="D226" s="97"/>
      <c r="E226" s="98">
        <v>9</v>
      </c>
      <c r="F226" s="98">
        <v>0.42089426964481769</v>
      </c>
      <c r="G226" s="98">
        <v>3744</v>
      </c>
      <c r="H226" s="98">
        <v>224654</v>
      </c>
      <c r="I226" s="98">
        <v>670</v>
      </c>
      <c r="J226" s="139">
        <f>GETPIVOTDATA("Usuarios afec",$A$3,"SE","OCZ")/N226</f>
        <v>1.2552599137430351E-3</v>
      </c>
      <c r="K226" s="104">
        <f>GETPIVOTDATA("Suma de DEMUA",$A$3,"SE","OCZ")/GETPIVOTDATA("Usuarios afec",$A$3,"SE","OCZ")</f>
        <v>335.30447761194029</v>
      </c>
      <c r="L226" s="104">
        <f>GETPIVOTDATA("Duracion",$A$3,"SE","OCZ")/GETPIVOTDATA("NI",$A$3,"SE","OCZ")</f>
        <v>416</v>
      </c>
      <c r="M226" s="104">
        <f>GETPIVOTDATA("Usuarios afec",$A$3,"SE","OCZ")/GETPIVOTDATA("NI",$A$3,"SE","OCZ")</f>
        <v>74.444444444444443</v>
      </c>
      <c r="N226">
        <v>533754</v>
      </c>
    </row>
    <row r="227" spans="1:14" x14ac:dyDescent="0.25">
      <c r="A227" s="23" t="s">
        <v>489</v>
      </c>
      <c r="B227" s="51">
        <v>4010</v>
      </c>
      <c r="C227" s="79" t="s">
        <v>975</v>
      </c>
      <c r="D227" s="79" t="s">
        <v>36</v>
      </c>
      <c r="E227" s="4">
        <v>1</v>
      </c>
      <c r="F227" s="4">
        <v>1.7536168347216132E-2</v>
      </c>
      <c r="G227" s="4">
        <v>260</v>
      </c>
      <c r="H227" s="4">
        <v>9360</v>
      </c>
      <c r="I227" s="4">
        <v>36</v>
      </c>
      <c r="J227" s="134"/>
      <c r="K227" s="18"/>
      <c r="L227" s="18"/>
      <c r="M227" s="18"/>
      <c r="N227">
        <v>533754</v>
      </c>
    </row>
    <row r="228" spans="1:14" x14ac:dyDescent="0.25">
      <c r="A228" s="24"/>
      <c r="B228" s="80" t="s">
        <v>75</v>
      </c>
      <c r="C228" s="80"/>
      <c r="D228" s="80"/>
      <c r="E228" s="92">
        <v>1</v>
      </c>
      <c r="F228" s="92">
        <v>1.7536168347216132E-2</v>
      </c>
      <c r="G228" s="92">
        <v>260</v>
      </c>
      <c r="H228" s="92">
        <v>9360</v>
      </c>
      <c r="I228" s="92">
        <v>36</v>
      </c>
      <c r="J228" s="135">
        <f>GETPIVOTDATA("Usuarios afec",$A$3,"SE","IPD","Circuito",4010)/N228</f>
        <v>6.7446801335446666E-5</v>
      </c>
      <c r="K228" s="103">
        <f>GETPIVOTDATA("Suma de DEMUA",$A$3,"SE","IPD","Circuito",4010)/GETPIVOTDATA("Usuarios afec",$A$3,"SE","IPD","Circuito",4010)</f>
        <v>260</v>
      </c>
      <c r="L228" s="103">
        <f>GETPIVOTDATA("Duracion",$A$3,"SE","IPD","Circuito",4010)/GETPIVOTDATA("NI",$A$3,"SE","IPD","Circuito",4010)</f>
        <v>260</v>
      </c>
      <c r="M228" s="103">
        <f>GETPIVOTDATA("Usuarios afec",$A$3,"SE","IPD","Circuito",4010)/GETPIVOTDATA("NI",$A$3,"SE","IPD","Circuito",4010)</f>
        <v>36</v>
      </c>
      <c r="N228">
        <v>533754</v>
      </c>
    </row>
    <row r="229" spans="1:14" x14ac:dyDescent="0.25">
      <c r="A229" s="24"/>
      <c r="B229" s="51">
        <v>4020</v>
      </c>
      <c r="C229" s="25" t="s">
        <v>491</v>
      </c>
      <c r="D229" s="25" t="s">
        <v>35</v>
      </c>
      <c r="E229" s="4">
        <v>1</v>
      </c>
      <c r="F229" s="4">
        <v>2.7484571544194515E-2</v>
      </c>
      <c r="G229" s="4">
        <v>2934</v>
      </c>
      <c r="H229" s="4">
        <v>14670</v>
      </c>
      <c r="I229" s="4">
        <v>5</v>
      </c>
      <c r="J229" s="134"/>
      <c r="K229" s="18"/>
      <c r="L229" s="18"/>
      <c r="M229" s="18"/>
      <c r="N229">
        <v>533754</v>
      </c>
    </row>
    <row r="230" spans="1:14" x14ac:dyDescent="0.25">
      <c r="A230" s="24"/>
      <c r="B230" s="80" t="s">
        <v>76</v>
      </c>
      <c r="C230" s="80"/>
      <c r="D230" s="80"/>
      <c r="E230" s="92">
        <v>1</v>
      </c>
      <c r="F230" s="92">
        <v>2.7484571544194515E-2</v>
      </c>
      <c r="G230" s="92">
        <v>2934</v>
      </c>
      <c r="H230" s="92">
        <v>14670</v>
      </c>
      <c r="I230" s="92">
        <v>5</v>
      </c>
      <c r="J230" s="135">
        <f>GETPIVOTDATA("Usuarios afec",$A$3,"SE","IPD","Circuito",4020)/N230</f>
        <v>9.3676112965898147E-6</v>
      </c>
      <c r="K230" s="103">
        <f>GETPIVOTDATA("Suma de DEMUA",$A$3,"SE","IPD","Circuito",4020)/GETPIVOTDATA("Usuarios afec",$A$3,"SE","IPD","Circuito",4020)</f>
        <v>2934</v>
      </c>
      <c r="L230" s="103">
        <f>GETPIVOTDATA("Duracion",$A$3,"SE","IPD","Circuito",4020)/GETPIVOTDATA("NI",$A$3,"SE","IPD","Circuito",4020)</f>
        <v>2934</v>
      </c>
      <c r="M230" s="103">
        <f>GETPIVOTDATA("Usuarios afec",$A$3,"SE","IPD","Circuito",4020)</f>
        <v>5</v>
      </c>
      <c r="N230">
        <v>533754</v>
      </c>
    </row>
    <row r="231" spans="1:14" x14ac:dyDescent="0.25">
      <c r="A231" s="24"/>
      <c r="B231" s="51">
        <v>4030</v>
      </c>
      <c r="C231" s="25" t="s">
        <v>707</v>
      </c>
      <c r="D231" s="25" t="s">
        <v>35</v>
      </c>
      <c r="E231" s="4">
        <v>1</v>
      </c>
      <c r="F231" s="4">
        <v>2.0608744852497591E-3</v>
      </c>
      <c r="G231" s="4">
        <v>275</v>
      </c>
      <c r="H231" s="4">
        <v>1100</v>
      </c>
      <c r="I231" s="4">
        <v>4</v>
      </c>
      <c r="J231" s="134"/>
      <c r="K231" s="18"/>
      <c r="L231" s="18"/>
      <c r="M231" s="18"/>
      <c r="N231">
        <v>533754</v>
      </c>
    </row>
    <row r="232" spans="1:14" x14ac:dyDescent="0.25">
      <c r="A232" s="24"/>
      <c r="B232" s="80" t="s">
        <v>77</v>
      </c>
      <c r="C232" s="80"/>
      <c r="D232" s="80"/>
      <c r="E232" s="92">
        <v>1</v>
      </c>
      <c r="F232" s="92">
        <v>2.0608744852497591E-3</v>
      </c>
      <c r="G232" s="92">
        <v>275</v>
      </c>
      <c r="H232" s="92">
        <v>1100</v>
      </c>
      <c r="I232" s="92">
        <v>4</v>
      </c>
      <c r="J232" s="135">
        <f>GETPIVOTDATA("Usuarios afec",$A$3,"SE","IPD","Circuito",4030)/N232</f>
        <v>7.4940890372718517E-6</v>
      </c>
      <c r="K232" s="103">
        <f>GETPIVOTDATA("Suma de DEMUA",$A$3,"SE","IPD","Circuito",4030)/GETPIVOTDATA("Usuarios afec",$A$3,"SE","IPD","Circuito",4030)</f>
        <v>275</v>
      </c>
      <c r="L232" s="103">
        <f>GETPIVOTDATA("Duracion",$A$3,"SE","IPD","Circuito",4030)/GETPIVOTDATA("NI",$A$3,"SE","IPD","Circuito",4030)</f>
        <v>275</v>
      </c>
      <c r="M232" s="103">
        <f>GETPIVOTDATA("Usuarios afec",$A$3,"SE","IPD","Circuito",4030)</f>
        <v>4</v>
      </c>
      <c r="N232">
        <v>533754</v>
      </c>
    </row>
    <row r="233" spans="1:14" x14ac:dyDescent="0.25">
      <c r="A233" s="24"/>
      <c r="B233" s="51">
        <v>4042</v>
      </c>
      <c r="C233" s="25" t="s">
        <v>593</v>
      </c>
      <c r="D233" s="25" t="s">
        <v>1054</v>
      </c>
      <c r="E233" s="4">
        <v>1</v>
      </c>
      <c r="F233" s="4">
        <v>0.23317858039471367</v>
      </c>
      <c r="G233" s="4">
        <v>508</v>
      </c>
      <c r="H233" s="4">
        <v>124460</v>
      </c>
      <c r="I233" s="4">
        <v>245</v>
      </c>
      <c r="J233" s="134"/>
      <c r="K233" s="18"/>
      <c r="L233" s="18"/>
      <c r="M233" s="18"/>
      <c r="N233">
        <v>533754</v>
      </c>
    </row>
    <row r="234" spans="1:14" x14ac:dyDescent="0.25">
      <c r="A234" s="24"/>
      <c r="B234" s="51"/>
      <c r="C234" s="25"/>
      <c r="D234" s="25" t="s">
        <v>1043</v>
      </c>
      <c r="E234" s="4">
        <v>1</v>
      </c>
      <c r="F234" s="4">
        <v>5.6917606238079711E-2</v>
      </c>
      <c r="G234" s="4">
        <v>124</v>
      </c>
      <c r="H234" s="4">
        <v>30380</v>
      </c>
      <c r="I234" s="4">
        <v>245</v>
      </c>
      <c r="J234" s="134"/>
      <c r="K234" s="18"/>
      <c r="L234" s="18"/>
      <c r="M234" s="18"/>
      <c r="N234">
        <v>533754</v>
      </c>
    </row>
    <row r="235" spans="1:14" x14ac:dyDescent="0.25">
      <c r="A235" s="17"/>
      <c r="B235" s="80" t="s">
        <v>1031</v>
      </c>
      <c r="C235" s="80"/>
      <c r="D235" s="80"/>
      <c r="E235" s="92">
        <v>2</v>
      </c>
      <c r="F235" s="92">
        <v>0.29009618663279341</v>
      </c>
      <c r="G235" s="92">
        <v>632</v>
      </c>
      <c r="H235" s="92">
        <v>154840</v>
      </c>
      <c r="I235" s="92">
        <v>490</v>
      </c>
      <c r="J235" s="135">
        <f>GETPIVOTDATA("Usuarios afec",$A$3,"SE","IPD","Circuito",4042)/N235</f>
        <v>9.1802590706580186E-4</v>
      </c>
      <c r="K235" s="103">
        <f>GETPIVOTDATA("Suma de DEMUA",$A$3,"SE","IPD","Circuito",4042)/GETPIVOTDATA("Usuarios afec",$A$3,"SE","IPD","Circuito",4042)</f>
        <v>316</v>
      </c>
      <c r="L235" s="103">
        <f>GETPIVOTDATA("Duracion",$A$3,"SE","IPD","Circuito",4042)/GETPIVOTDATA("NI",$A$3,"SE","IPD","Circuito",4042)</f>
        <v>316</v>
      </c>
      <c r="M235" s="103">
        <f>GETPIVOTDATA("Usuarios afec",$A$3,"SE","IPD","Circuito",4042)/GETPIVOTDATA("NI",$A$3,"SE","IPD","Circuito",4042)</f>
        <v>245</v>
      </c>
      <c r="N235">
        <v>533754</v>
      </c>
    </row>
    <row r="236" spans="1:14" x14ac:dyDescent="0.25">
      <c r="A236" s="95" t="s">
        <v>1032</v>
      </c>
      <c r="B236" s="96"/>
      <c r="C236" s="96"/>
      <c r="D236" s="97"/>
      <c r="E236" s="98">
        <v>5</v>
      </c>
      <c r="F236" s="98">
        <v>0.33717780100945383</v>
      </c>
      <c r="G236" s="98">
        <v>4101</v>
      </c>
      <c r="H236" s="98">
        <v>179970</v>
      </c>
      <c r="I236" s="98">
        <v>535</v>
      </c>
      <c r="J236" s="139">
        <f>GETPIVOTDATA("Usuarios afec",$A$3,"SE","IPD")/N236</f>
        <v>1.0023344087351101E-3</v>
      </c>
      <c r="K236" s="104">
        <f>GETPIVOTDATA("Suma de DEMUA",$A$3,"SE","IPD")/GETPIVOTDATA("Usuarios afec",$A$3,"SE","IPD")</f>
        <v>336.39252336448595</v>
      </c>
      <c r="L236" s="104">
        <f>GETPIVOTDATA("Duracion",$A$3,"SE","IPD")/GETPIVOTDATA("NI",$A$3,"SE","IPD")</f>
        <v>820.2</v>
      </c>
      <c r="M236" s="104">
        <f>GETPIVOTDATA("Usuarios afec",$A$3,"SE","IPD")/GETPIVOTDATA("NI",$A$3,"SE","IPD")</f>
        <v>107</v>
      </c>
      <c r="N236">
        <v>533754</v>
      </c>
    </row>
    <row r="237" spans="1:14" x14ac:dyDescent="0.25">
      <c r="A237" s="23" t="s">
        <v>381</v>
      </c>
      <c r="B237" s="51">
        <v>4010</v>
      </c>
      <c r="C237" s="79" t="s">
        <v>20</v>
      </c>
      <c r="D237" s="79" t="s">
        <v>110</v>
      </c>
      <c r="E237" s="4">
        <v>1</v>
      </c>
      <c r="F237" s="4">
        <v>6.6390134781191337E-2</v>
      </c>
      <c r="G237" s="4">
        <v>12</v>
      </c>
      <c r="H237" s="4">
        <v>35436</v>
      </c>
      <c r="I237" s="4">
        <v>2953</v>
      </c>
      <c r="J237" s="134"/>
      <c r="K237" s="18"/>
      <c r="L237" s="18"/>
      <c r="M237" s="18"/>
      <c r="N237">
        <v>533754</v>
      </c>
    </row>
    <row r="238" spans="1:14" x14ac:dyDescent="0.25">
      <c r="A238" s="24"/>
      <c r="B238" s="51"/>
      <c r="C238" s="25" t="s">
        <v>382</v>
      </c>
      <c r="D238" s="79" t="s">
        <v>35</v>
      </c>
      <c r="E238" s="4">
        <v>1</v>
      </c>
      <c r="F238" s="4">
        <v>2.5854607178587888E-3</v>
      </c>
      <c r="G238" s="4">
        <v>46</v>
      </c>
      <c r="H238" s="4">
        <v>1380</v>
      </c>
      <c r="I238" s="4">
        <v>30</v>
      </c>
      <c r="J238" s="134"/>
      <c r="K238" s="18"/>
      <c r="L238" s="18"/>
      <c r="M238" s="18"/>
      <c r="N238">
        <v>533754</v>
      </c>
    </row>
    <row r="239" spans="1:14" x14ac:dyDescent="0.25">
      <c r="A239" s="24"/>
      <c r="B239" s="51"/>
      <c r="C239" s="25" t="s">
        <v>504</v>
      </c>
      <c r="D239" s="79" t="s">
        <v>109</v>
      </c>
      <c r="E239" s="4">
        <v>1</v>
      </c>
      <c r="F239" s="4">
        <v>5.8229071819602286E-3</v>
      </c>
      <c r="G239" s="4">
        <v>259</v>
      </c>
      <c r="H239" s="4">
        <v>3108</v>
      </c>
      <c r="I239" s="4">
        <v>12</v>
      </c>
      <c r="J239" s="134"/>
      <c r="K239" s="18"/>
      <c r="L239" s="18"/>
      <c r="M239" s="18"/>
      <c r="N239">
        <v>533754</v>
      </c>
    </row>
    <row r="240" spans="1:14" x14ac:dyDescent="0.25">
      <c r="A240" s="24"/>
      <c r="B240" s="51"/>
      <c r="C240" s="25"/>
      <c r="D240" s="25" t="s">
        <v>36</v>
      </c>
      <c r="E240" s="4">
        <v>1</v>
      </c>
      <c r="F240" s="4">
        <v>2.9077065464614784E-3</v>
      </c>
      <c r="G240" s="4">
        <v>194</v>
      </c>
      <c r="H240" s="4">
        <v>1552</v>
      </c>
      <c r="I240" s="4">
        <v>8</v>
      </c>
      <c r="J240" s="134"/>
      <c r="K240" s="18"/>
      <c r="L240" s="18"/>
      <c r="M240" s="18"/>
      <c r="N240">
        <v>533754</v>
      </c>
    </row>
    <row r="241" spans="1:14" x14ac:dyDescent="0.25">
      <c r="A241" s="24"/>
      <c r="B241" s="51"/>
      <c r="C241" s="25" t="s">
        <v>540</v>
      </c>
      <c r="D241" s="79" t="s">
        <v>36</v>
      </c>
      <c r="E241" s="4">
        <v>1</v>
      </c>
      <c r="F241" s="4">
        <v>1.5831263091236787E-2</v>
      </c>
      <c r="G241" s="4">
        <v>169</v>
      </c>
      <c r="H241" s="4">
        <v>8450</v>
      </c>
      <c r="I241" s="4">
        <v>50</v>
      </c>
      <c r="J241" s="134"/>
      <c r="K241" s="18"/>
      <c r="L241" s="18"/>
      <c r="M241" s="18"/>
      <c r="N241">
        <v>533754</v>
      </c>
    </row>
    <row r="242" spans="1:14" x14ac:dyDescent="0.25">
      <c r="A242" s="24"/>
      <c r="B242" s="51"/>
      <c r="C242" s="25" t="s">
        <v>556</v>
      </c>
      <c r="D242" s="79" t="s">
        <v>36</v>
      </c>
      <c r="E242" s="4">
        <v>1</v>
      </c>
      <c r="F242" s="4">
        <v>1.78246907751511E-2</v>
      </c>
      <c r="G242" s="4">
        <v>134</v>
      </c>
      <c r="H242" s="4">
        <v>9514</v>
      </c>
      <c r="I242" s="4">
        <v>71</v>
      </c>
      <c r="J242" s="134"/>
      <c r="K242" s="18"/>
      <c r="L242" s="18"/>
      <c r="M242" s="18"/>
      <c r="N242">
        <v>533754</v>
      </c>
    </row>
    <row r="243" spans="1:14" x14ac:dyDescent="0.25">
      <c r="A243" s="24"/>
      <c r="B243" s="51"/>
      <c r="C243" s="25" t="s">
        <v>655</v>
      </c>
      <c r="D243" s="79" t="s">
        <v>1009</v>
      </c>
      <c r="E243" s="4">
        <v>1</v>
      </c>
      <c r="F243" s="4">
        <v>7.1193845854082593E-4</v>
      </c>
      <c r="G243" s="4">
        <v>190</v>
      </c>
      <c r="H243" s="4">
        <v>380</v>
      </c>
      <c r="I243" s="4">
        <v>2</v>
      </c>
      <c r="J243" s="134"/>
      <c r="K243" s="18"/>
      <c r="L243" s="18"/>
      <c r="M243" s="18"/>
      <c r="N243">
        <v>533754</v>
      </c>
    </row>
    <row r="244" spans="1:14" x14ac:dyDescent="0.25">
      <c r="A244" s="24"/>
      <c r="B244" s="51"/>
      <c r="C244" s="25" t="s">
        <v>731</v>
      </c>
      <c r="D244" s="79" t="s">
        <v>1009</v>
      </c>
      <c r="E244" s="4">
        <v>1</v>
      </c>
      <c r="F244" s="4">
        <v>1.1475323838322523E-2</v>
      </c>
      <c r="G244" s="4">
        <v>175</v>
      </c>
      <c r="H244" s="4">
        <v>6125</v>
      </c>
      <c r="I244" s="4">
        <v>35</v>
      </c>
      <c r="J244" s="134"/>
      <c r="K244" s="18"/>
      <c r="L244" s="18"/>
      <c r="M244" s="18"/>
      <c r="N244">
        <v>533754</v>
      </c>
    </row>
    <row r="245" spans="1:14" x14ac:dyDescent="0.25">
      <c r="A245" s="24"/>
      <c r="B245" s="51"/>
      <c r="C245" s="25" t="s">
        <v>823</v>
      </c>
      <c r="D245" s="79" t="s">
        <v>109</v>
      </c>
      <c r="E245" s="4">
        <v>1</v>
      </c>
      <c r="F245" s="4">
        <v>3.5937903978237165E-2</v>
      </c>
      <c r="G245" s="4">
        <v>139</v>
      </c>
      <c r="H245" s="4">
        <v>19182</v>
      </c>
      <c r="I245" s="4">
        <v>138</v>
      </c>
      <c r="J245" s="134"/>
      <c r="K245" s="18"/>
      <c r="L245" s="18"/>
      <c r="M245" s="18"/>
      <c r="N245">
        <v>533754</v>
      </c>
    </row>
    <row r="246" spans="1:14" x14ac:dyDescent="0.25">
      <c r="A246" s="24"/>
      <c r="B246" s="51"/>
      <c r="C246" s="25" t="s">
        <v>937</v>
      </c>
      <c r="D246" s="79" t="s">
        <v>35</v>
      </c>
      <c r="E246" s="4">
        <v>1</v>
      </c>
      <c r="F246" s="4">
        <v>1.11287222203487E-2</v>
      </c>
      <c r="G246" s="4">
        <v>396</v>
      </c>
      <c r="H246" s="4">
        <v>5940</v>
      </c>
      <c r="I246" s="4">
        <v>15</v>
      </c>
      <c r="J246" s="134"/>
      <c r="K246" s="18"/>
      <c r="L246" s="18"/>
      <c r="M246" s="18"/>
      <c r="N246">
        <v>533754</v>
      </c>
    </row>
    <row r="247" spans="1:14" x14ac:dyDescent="0.25">
      <c r="A247" s="24"/>
      <c r="B247" s="80" t="s">
        <v>75</v>
      </c>
      <c r="C247" s="80"/>
      <c r="D247" s="80"/>
      <c r="E247" s="92">
        <v>10</v>
      </c>
      <c r="F247" s="92">
        <v>0.17061605158930893</v>
      </c>
      <c r="G247" s="92">
        <v>1714</v>
      </c>
      <c r="H247" s="92">
        <v>91067</v>
      </c>
      <c r="I247" s="92">
        <v>3314</v>
      </c>
      <c r="J247" s="135">
        <f>GETPIVOTDATA("Usuarios afec",$A$3,"SE","LGZ","Circuito",4010)/N247</f>
        <v>6.2088527673797292E-3</v>
      </c>
      <c r="K247" s="103">
        <f>GETPIVOTDATA("Suma de DEMUA",$A$3,"SE","LGZ","Circuito",4010)/GETPIVOTDATA("Usuarios afec",$A$3,"SE","LGZ","Circuito",4010)</f>
        <v>27.479480989740495</v>
      </c>
      <c r="L247" s="103">
        <f>GETPIVOTDATA("Duracion",$A$3,"SE","LGZ","Circuito",4010)/GETPIVOTDATA("NI",$A$3,"SE","LGZ","Circuito",4010)</f>
        <v>171.4</v>
      </c>
      <c r="M247" s="103">
        <f>GETPIVOTDATA("Usuarios afec",$A$3,"SE","LGZ","Circuito",4010)/GETPIVOTDATA("NI",$A$3,"SE","LGZ","Circuito",4010)</f>
        <v>331.4</v>
      </c>
      <c r="N247">
        <v>533754</v>
      </c>
    </row>
    <row r="248" spans="1:14" x14ac:dyDescent="0.25">
      <c r="A248" s="24"/>
      <c r="B248" s="51">
        <v>4020</v>
      </c>
      <c r="C248" s="25" t="s">
        <v>625</v>
      </c>
      <c r="D248" s="25" t="s">
        <v>44</v>
      </c>
      <c r="E248" s="4">
        <v>1</v>
      </c>
      <c r="F248" s="4">
        <v>1.6524466327184434E-2</v>
      </c>
      <c r="G248" s="4">
        <v>49</v>
      </c>
      <c r="H248" s="4">
        <v>8820</v>
      </c>
      <c r="I248" s="4">
        <v>180</v>
      </c>
      <c r="J248" s="134"/>
      <c r="K248" s="18"/>
      <c r="L248" s="18"/>
      <c r="M248" s="18"/>
      <c r="N248">
        <v>533754</v>
      </c>
    </row>
    <row r="249" spans="1:14" x14ac:dyDescent="0.25">
      <c r="A249" s="24"/>
      <c r="B249" s="80" t="s">
        <v>76</v>
      </c>
      <c r="C249" s="80"/>
      <c r="D249" s="80"/>
      <c r="E249" s="92">
        <v>1</v>
      </c>
      <c r="F249" s="92">
        <v>1.6524466327184434E-2</v>
      </c>
      <c r="G249" s="92">
        <v>49</v>
      </c>
      <c r="H249" s="92">
        <v>8820</v>
      </c>
      <c r="I249" s="92">
        <v>180</v>
      </c>
      <c r="J249" s="135">
        <f>GETPIVOTDATA("Usuarios afec",$A$3,"SE","LGZ","Circuito",4020)/N249</f>
        <v>3.3723400667723331E-4</v>
      </c>
      <c r="K249" s="103">
        <f>GETPIVOTDATA("Suma de DEMUA",$A$3,"SE","LGZ","Circuito",4020)/GETPIVOTDATA("Usuarios afec",$A$3,"SE","LGZ","Circuito",4020)</f>
        <v>49</v>
      </c>
      <c r="L249" s="103">
        <f>GETPIVOTDATA("Duracion",$A$3,"SE","LGZ","Circuito",4020)/GETPIVOTDATA("NI",$A$3,"SE","LGZ","Circuito",4020)</f>
        <v>49</v>
      </c>
      <c r="M249" s="103">
        <f>GETPIVOTDATA("Usuarios afec",$A$3,"SE","LGZ","Circuito",4020)/GETPIVOTDATA("NI",$A$3,"SE","LGZ","Circuito",4020)</f>
        <v>180</v>
      </c>
      <c r="N249">
        <v>533754</v>
      </c>
    </row>
    <row r="250" spans="1:14" x14ac:dyDescent="0.25">
      <c r="A250" s="24"/>
      <c r="B250" s="51">
        <v>4030</v>
      </c>
      <c r="C250" s="25" t="s">
        <v>588</v>
      </c>
      <c r="D250" s="25" t="s">
        <v>35</v>
      </c>
      <c r="E250" s="4"/>
      <c r="F250" s="4">
        <v>6.058970986634292E-2</v>
      </c>
      <c r="G250" s="4">
        <v>462</v>
      </c>
      <c r="H250" s="4">
        <v>32340</v>
      </c>
      <c r="I250" s="4">
        <v>70</v>
      </c>
      <c r="J250" s="134"/>
      <c r="K250" s="18"/>
      <c r="L250" s="18"/>
      <c r="M250" s="18"/>
      <c r="N250">
        <v>533754</v>
      </c>
    </row>
    <row r="251" spans="1:14" x14ac:dyDescent="0.25">
      <c r="A251" s="24"/>
      <c r="B251" s="80" t="s">
        <v>77</v>
      </c>
      <c r="C251" s="80"/>
      <c r="D251" s="80"/>
      <c r="E251" s="92"/>
      <c r="F251" s="92">
        <v>6.058970986634292E-2</v>
      </c>
      <c r="G251" s="92">
        <v>462</v>
      </c>
      <c r="H251" s="92">
        <v>32340</v>
      </c>
      <c r="I251" s="92">
        <v>70</v>
      </c>
      <c r="J251" s="135">
        <f>GETPIVOTDATA("Usuarios afec",$A$3,"SE","LGZ","Circuito",4030)/N251</f>
        <v>1.3114655815225741E-4</v>
      </c>
      <c r="K251" s="103">
        <f>GETPIVOTDATA("Suma de DEMUA",$A$3,"SE","LGZ","Circuito",4030)/GETPIVOTDATA("Usuarios afec",$A$3,"SE","LGZ","Circuito",4030)</f>
        <v>462</v>
      </c>
      <c r="L251" s="103">
        <f>GETPIVOTDATA("Duracion",$A$3,"SE","LGZ","Circuito",4030)</f>
        <v>462</v>
      </c>
      <c r="M251" s="103">
        <f>GETPIVOTDATA("Usuarios afec",$A$3,"SE","LGZ","Circuito",4030)</f>
        <v>70</v>
      </c>
      <c r="N251">
        <v>533754</v>
      </c>
    </row>
    <row r="252" spans="1:14" x14ac:dyDescent="0.25">
      <c r="A252" s="24"/>
      <c r="B252" s="51">
        <v>4040</v>
      </c>
      <c r="C252" s="25" t="s">
        <v>426</v>
      </c>
      <c r="D252" s="25" t="s">
        <v>36</v>
      </c>
      <c r="E252" s="4">
        <v>1</v>
      </c>
      <c r="F252" s="4">
        <v>1.8098225025011523E-2</v>
      </c>
      <c r="G252" s="4">
        <v>84</v>
      </c>
      <c r="H252" s="4">
        <v>9660</v>
      </c>
      <c r="I252" s="4">
        <v>115</v>
      </c>
      <c r="J252" s="134"/>
      <c r="K252" s="18"/>
      <c r="L252" s="18"/>
      <c r="M252" s="18"/>
      <c r="N252">
        <v>533754</v>
      </c>
    </row>
    <row r="253" spans="1:14" x14ac:dyDescent="0.25">
      <c r="A253" s="24"/>
      <c r="B253" s="51"/>
      <c r="C253" s="25" t="s">
        <v>858</v>
      </c>
      <c r="D253" s="25" t="s">
        <v>35</v>
      </c>
      <c r="E253" s="4">
        <v>2</v>
      </c>
      <c r="F253" s="4">
        <v>6.168572038804393E-2</v>
      </c>
      <c r="G253" s="4">
        <v>439</v>
      </c>
      <c r="H253" s="4">
        <v>32925</v>
      </c>
      <c r="I253" s="4">
        <v>150</v>
      </c>
      <c r="J253" s="134"/>
      <c r="K253" s="18"/>
      <c r="L253" s="18"/>
      <c r="M253" s="18"/>
      <c r="N253">
        <v>533754</v>
      </c>
    </row>
    <row r="254" spans="1:14" x14ac:dyDescent="0.25">
      <c r="A254" s="17"/>
      <c r="B254" s="80" t="s">
        <v>313</v>
      </c>
      <c r="C254" s="80"/>
      <c r="D254" s="80"/>
      <c r="E254" s="92">
        <v>3</v>
      </c>
      <c r="F254" s="92">
        <v>7.9783945413055446E-2</v>
      </c>
      <c r="G254" s="92">
        <v>523</v>
      </c>
      <c r="H254" s="92">
        <v>42585</v>
      </c>
      <c r="I254" s="92">
        <v>265</v>
      </c>
      <c r="J254" s="135">
        <f>GETPIVOTDATA("Usuarios afec",$A$3,"SE","LGZ","Circuito",4040)/N254</f>
        <v>4.9648339871926023E-4</v>
      </c>
      <c r="K254" s="103">
        <f>GETPIVOTDATA("Suma de DEMUA",$A$3,"SE","LGZ","Circuito",4040)/GETPIVOTDATA("Usuarios afec",$A$3,"SE","LGZ","Circuito",4040)</f>
        <v>160.69811320754718</v>
      </c>
      <c r="L254" s="103">
        <f>GETPIVOTDATA("Duracion",$A$3,"SE","LGZ","Circuito",4040)/GETPIVOTDATA("NI",$A$3,"SE","LGZ","Circuito",4040)</f>
        <v>174.33333333333334</v>
      </c>
      <c r="M254" s="103">
        <f>GETPIVOTDATA("Usuarios afec",$A$3,"SE","LGZ","Circuito",4040)/GETPIVOTDATA("Duracion",$A$3,"SE","LGZ","Circuito",4040)</f>
        <v>0.50669216061185474</v>
      </c>
      <c r="N254">
        <v>533754</v>
      </c>
    </row>
    <row r="255" spans="1:14" x14ac:dyDescent="0.25">
      <c r="A255" s="95" t="s">
        <v>1033</v>
      </c>
      <c r="B255" s="96"/>
      <c r="C255" s="96"/>
      <c r="D255" s="97"/>
      <c r="E255" s="98">
        <v>14</v>
      </c>
      <c r="F255" s="98">
        <v>0.32751417319589171</v>
      </c>
      <c r="G255" s="98">
        <v>2748</v>
      </c>
      <c r="H255" s="98">
        <v>174812</v>
      </c>
      <c r="I255" s="98">
        <v>3829</v>
      </c>
      <c r="J255" s="139">
        <f>GETPIVOTDATA("Usuarios afec",$A$3,"SE","LGZ")/N255</f>
        <v>7.1737167309284802E-3</v>
      </c>
      <c r="K255" s="104">
        <f>GETPIVOTDATA("Suma de DEMUA",$A$3,"SE","LGZ")/GETPIVOTDATA("Usuarios afec",$A$3,"SE","LGZ")</f>
        <v>45.654740141028988</v>
      </c>
      <c r="L255" s="104">
        <f>GETPIVOTDATA("Duracion",$A$3,"SE","LGZ")/GETPIVOTDATA("NI",$A$3,"SE","LGZ")</f>
        <v>196.28571428571428</v>
      </c>
      <c r="M255" s="104"/>
      <c r="N255">
        <v>533754</v>
      </c>
    </row>
    <row r="256" spans="1:14" x14ac:dyDescent="0.25">
      <c r="A256" s="23" t="s">
        <v>208</v>
      </c>
      <c r="B256" s="51">
        <v>4010</v>
      </c>
      <c r="C256" s="25" t="s">
        <v>210</v>
      </c>
      <c r="D256" s="25" t="s">
        <v>110</v>
      </c>
      <c r="E256" s="4">
        <v>1</v>
      </c>
      <c r="F256" s="4">
        <v>6.7221978664328509E-3</v>
      </c>
      <c r="G256" s="4">
        <v>299</v>
      </c>
      <c r="H256" s="4">
        <v>3588</v>
      </c>
      <c r="I256" s="4">
        <v>12</v>
      </c>
      <c r="J256" s="134"/>
      <c r="K256" s="18"/>
      <c r="L256" s="18"/>
      <c r="M256" s="18"/>
      <c r="N256">
        <v>533754</v>
      </c>
    </row>
    <row r="257" spans="1:14" x14ac:dyDescent="0.25">
      <c r="A257" s="24"/>
      <c r="B257" s="51"/>
      <c r="C257" s="25" t="s">
        <v>228</v>
      </c>
      <c r="D257" s="25" t="s">
        <v>44</v>
      </c>
      <c r="E257" s="4">
        <v>1</v>
      </c>
      <c r="F257" s="4">
        <v>7.2392900100046093E-2</v>
      </c>
      <c r="G257" s="4">
        <v>322</v>
      </c>
      <c r="H257" s="4">
        <v>38640</v>
      </c>
      <c r="I257" s="4">
        <v>120</v>
      </c>
      <c r="J257" s="134"/>
      <c r="K257" s="18"/>
      <c r="L257" s="18"/>
      <c r="M257" s="18"/>
      <c r="N257">
        <v>533754</v>
      </c>
    </row>
    <row r="258" spans="1:14" x14ac:dyDescent="0.25">
      <c r="A258" s="24"/>
      <c r="B258" s="51"/>
      <c r="C258" s="25" t="s">
        <v>247</v>
      </c>
      <c r="D258" s="25" t="s">
        <v>36</v>
      </c>
      <c r="E258" s="4">
        <v>1</v>
      </c>
      <c r="F258" s="4">
        <v>2.0706168009982127E-2</v>
      </c>
      <c r="G258" s="4">
        <v>614</v>
      </c>
      <c r="H258" s="4">
        <v>11052</v>
      </c>
      <c r="I258" s="4">
        <v>18</v>
      </c>
      <c r="J258" s="134"/>
      <c r="K258" s="18"/>
      <c r="L258" s="18"/>
      <c r="M258" s="18"/>
      <c r="N258">
        <v>533754</v>
      </c>
    </row>
    <row r="259" spans="1:14" x14ac:dyDescent="0.25">
      <c r="A259" s="24"/>
      <c r="B259" s="51"/>
      <c r="C259" s="25" t="s">
        <v>301</v>
      </c>
      <c r="D259" s="25" t="s">
        <v>36</v>
      </c>
      <c r="E259" s="4">
        <v>1</v>
      </c>
      <c r="F259" s="4">
        <v>1.5512764307152734E-3</v>
      </c>
      <c r="G259" s="4">
        <v>69</v>
      </c>
      <c r="H259" s="4">
        <v>828</v>
      </c>
      <c r="I259" s="4">
        <v>12</v>
      </c>
      <c r="J259" s="134"/>
      <c r="K259" s="18"/>
      <c r="L259" s="18"/>
      <c r="M259" s="18"/>
      <c r="N259">
        <v>533754</v>
      </c>
    </row>
    <row r="260" spans="1:14" x14ac:dyDescent="0.25">
      <c r="A260" s="24"/>
      <c r="B260" s="80" t="s">
        <v>75</v>
      </c>
      <c r="C260" s="80"/>
      <c r="D260" s="80"/>
      <c r="E260" s="92">
        <v>4</v>
      </c>
      <c r="F260" s="92">
        <v>0.10137254240717634</v>
      </c>
      <c r="G260" s="92">
        <v>1304</v>
      </c>
      <c r="H260" s="92">
        <v>54108</v>
      </c>
      <c r="I260" s="92">
        <v>162</v>
      </c>
      <c r="J260" s="135">
        <f>GETPIVOTDATA("Usuarios afec",$A$3,"SE","CIT","Circuito",4010)/N260</f>
        <v>3.0351060600950999E-4</v>
      </c>
      <c r="K260" s="103">
        <f>GETPIVOTDATA("Suma de DEMUA",$A$3,"SE","CIT","Circuito",4010)/GETPIVOTDATA("Usuarios afec",$A$3,"SE","CIT","Circuito",4010)</f>
        <v>334</v>
      </c>
      <c r="L260" s="103">
        <f>GETPIVOTDATA("Duracion",$A$3,"SE","CIT","Circuito",4010)/GETPIVOTDATA("NI",$A$3,"SE","CIT","Circuito",4010)</f>
        <v>326</v>
      </c>
      <c r="M260" s="103">
        <f>GETPIVOTDATA("Usuarios afec",$A$3,"SE","CIT","Circuito",4010)/GETPIVOTDATA("NI",$A$3,"SE","CIT","Circuito",4010)</f>
        <v>40.5</v>
      </c>
      <c r="N260">
        <v>533754</v>
      </c>
    </row>
    <row r="261" spans="1:14" x14ac:dyDescent="0.25">
      <c r="A261" s="24"/>
      <c r="B261" s="51">
        <v>4020</v>
      </c>
      <c r="C261" s="25" t="s">
        <v>239</v>
      </c>
      <c r="D261" s="25" t="s">
        <v>36</v>
      </c>
      <c r="E261" s="4">
        <v>1</v>
      </c>
      <c r="F261" s="4">
        <v>2.5596061106802011E-2</v>
      </c>
      <c r="G261" s="4">
        <v>207</v>
      </c>
      <c r="H261" s="4">
        <v>13662</v>
      </c>
      <c r="I261" s="4">
        <v>66</v>
      </c>
      <c r="J261" s="134"/>
      <c r="K261" s="18"/>
      <c r="L261" s="18"/>
      <c r="M261" s="18"/>
      <c r="N261">
        <v>533754</v>
      </c>
    </row>
    <row r="262" spans="1:14" x14ac:dyDescent="0.25">
      <c r="A262" s="24"/>
      <c r="B262" s="80" t="s">
        <v>76</v>
      </c>
      <c r="C262" s="80"/>
      <c r="D262" s="80"/>
      <c r="E262" s="92">
        <v>1</v>
      </c>
      <c r="F262" s="92">
        <v>2.5596061106802011E-2</v>
      </c>
      <c r="G262" s="92">
        <v>207</v>
      </c>
      <c r="H262" s="92">
        <v>13662</v>
      </c>
      <c r="I262" s="92">
        <v>66</v>
      </c>
      <c r="J262" s="135">
        <f>GETPIVOTDATA("Usuarios afec",$A$3,"SE","CIT","Circuito",4020)/N262</f>
        <v>1.2365246911498555E-4</v>
      </c>
      <c r="K262" s="103">
        <f>GETPIVOTDATA("Suma de DEMUA",$A$3,"SE","CIT","Circuito",4020)/GETPIVOTDATA("Usuarios afec",$A$3,"SE","CIT","Circuito",4020)</f>
        <v>207</v>
      </c>
      <c r="L262" s="103">
        <f>GETPIVOTDATA("Duracion",$A$3,"SE","CIT","Circuito",4020)/GETPIVOTDATA("NI",$A$3,"SE","CIT","Circuito",4020)</f>
        <v>207</v>
      </c>
      <c r="M262" s="103">
        <f>GETPIVOTDATA("Usuarios afec",$A$3,"SE","CIT","Circuito",4020)</f>
        <v>66</v>
      </c>
      <c r="N262">
        <v>533754</v>
      </c>
    </row>
    <row r="263" spans="1:14" x14ac:dyDescent="0.25">
      <c r="A263" s="24"/>
      <c r="B263" s="51">
        <v>4030</v>
      </c>
      <c r="C263" s="85" t="s">
        <v>280</v>
      </c>
      <c r="D263" s="85" t="s">
        <v>36</v>
      </c>
      <c r="E263" s="84">
        <v>1</v>
      </c>
      <c r="F263" s="84">
        <v>3.2355729418421221E-2</v>
      </c>
      <c r="G263" s="84">
        <v>110</v>
      </c>
      <c r="H263" s="84">
        <v>17270</v>
      </c>
      <c r="I263" s="84">
        <v>157</v>
      </c>
      <c r="J263" s="134"/>
      <c r="K263" s="18"/>
      <c r="L263" s="18"/>
      <c r="M263" s="18"/>
      <c r="N263">
        <v>533754</v>
      </c>
    </row>
    <row r="264" spans="1:14" x14ac:dyDescent="0.25">
      <c r="A264" s="24"/>
      <c r="B264" s="80" t="s">
        <v>77</v>
      </c>
      <c r="C264" s="80"/>
      <c r="D264" s="80"/>
      <c r="E264" s="92">
        <v>1</v>
      </c>
      <c r="F264" s="92">
        <v>3.2355729418421221E-2</v>
      </c>
      <c r="G264" s="92">
        <v>110</v>
      </c>
      <c r="H264" s="92">
        <v>17270</v>
      </c>
      <c r="I264" s="92">
        <v>157</v>
      </c>
      <c r="J264" s="135">
        <f>GETPIVOTDATA("Usuarios afec",$A$3,"SE","CIT","Circuito",4030)/N264</f>
        <v>2.9414299471292016E-4</v>
      </c>
      <c r="K264" s="103">
        <f>GETPIVOTDATA("Suma de DEMUA",$A$3,"SE","CIT","Circuito",4030)/GETPIVOTDATA("Usuarios afec",$A$3,"SE","CIT","Circuito",4030)</f>
        <v>110</v>
      </c>
      <c r="L264" s="103">
        <f>GETPIVOTDATA("Duracion",$A$3,"SE","CIT","Circuito",4030)/GETPIVOTDATA("NI",$A$3,"SE","CIT","Circuito",4030)</f>
        <v>110</v>
      </c>
      <c r="M264" s="103">
        <f>GETPIVOTDATA("Usuarios afec",$A$3,"SE","CIT","Circuito",4030)</f>
        <v>157</v>
      </c>
      <c r="N264">
        <v>533754</v>
      </c>
    </row>
    <row r="265" spans="1:14" x14ac:dyDescent="0.25">
      <c r="A265" s="24"/>
      <c r="B265" s="51">
        <v>4040</v>
      </c>
      <c r="C265" s="25" t="s">
        <v>260</v>
      </c>
      <c r="D265" s="25" t="s">
        <v>108</v>
      </c>
      <c r="E265" s="4">
        <v>1</v>
      </c>
      <c r="F265" s="4">
        <v>2.5266321189162048E-2</v>
      </c>
      <c r="G265" s="4">
        <v>1226</v>
      </c>
      <c r="H265" s="4">
        <v>13486</v>
      </c>
      <c r="I265" s="4">
        <v>11</v>
      </c>
      <c r="J265" s="134"/>
      <c r="K265" s="18"/>
      <c r="L265" s="18"/>
      <c r="M265" s="18"/>
      <c r="N265">
        <v>533754</v>
      </c>
    </row>
    <row r="266" spans="1:14" x14ac:dyDescent="0.25">
      <c r="A266" s="24"/>
      <c r="B266" s="51"/>
      <c r="C266" s="25" t="s">
        <v>266</v>
      </c>
      <c r="D266" s="25" t="s">
        <v>112</v>
      </c>
      <c r="E266" s="4">
        <v>1</v>
      </c>
      <c r="F266" s="4">
        <v>1.5467799772929102E-2</v>
      </c>
      <c r="G266" s="4">
        <v>192</v>
      </c>
      <c r="H266" s="4">
        <v>8256</v>
      </c>
      <c r="I266" s="4">
        <v>43</v>
      </c>
      <c r="J266" s="134"/>
      <c r="K266" s="18"/>
      <c r="L266" s="18"/>
      <c r="M266" s="18"/>
      <c r="N266">
        <v>533754</v>
      </c>
    </row>
    <row r="267" spans="1:14" x14ac:dyDescent="0.25">
      <c r="A267" s="24"/>
      <c r="B267" s="51"/>
      <c r="C267" s="25" t="s">
        <v>284</v>
      </c>
      <c r="D267" s="25" t="s">
        <v>35</v>
      </c>
      <c r="E267" s="4">
        <v>1</v>
      </c>
      <c r="F267" s="4">
        <v>5.7914320080036871E-2</v>
      </c>
      <c r="G267" s="4">
        <v>552</v>
      </c>
      <c r="H267" s="4">
        <v>30912</v>
      </c>
      <c r="I267" s="4">
        <v>56</v>
      </c>
      <c r="J267" s="134"/>
      <c r="K267" s="18"/>
      <c r="L267" s="18"/>
      <c r="M267" s="18"/>
      <c r="N267">
        <v>533754</v>
      </c>
    </row>
    <row r="268" spans="1:14" x14ac:dyDescent="0.25">
      <c r="A268" s="24"/>
      <c r="B268" s="51"/>
      <c r="C268" s="25" t="s">
        <v>287</v>
      </c>
      <c r="D268" s="25" t="s">
        <v>36</v>
      </c>
      <c r="E268" s="4">
        <v>1</v>
      </c>
      <c r="F268" s="4">
        <v>4.6969203041101332E-3</v>
      </c>
      <c r="G268" s="4">
        <v>109</v>
      </c>
      <c r="H268" s="4">
        <v>2507</v>
      </c>
      <c r="I268" s="4">
        <v>23</v>
      </c>
      <c r="J268" s="134"/>
      <c r="K268" s="18"/>
      <c r="L268" s="18"/>
      <c r="M268" s="18"/>
      <c r="N268">
        <v>533754</v>
      </c>
    </row>
    <row r="269" spans="1:14" x14ac:dyDescent="0.25">
      <c r="A269" s="17"/>
      <c r="B269" s="80" t="s">
        <v>313</v>
      </c>
      <c r="C269" s="80"/>
      <c r="D269" s="80"/>
      <c r="E269" s="92">
        <v>4</v>
      </c>
      <c r="F269" s="92">
        <v>0.10334536134623816</v>
      </c>
      <c r="G269" s="92">
        <v>2079</v>
      </c>
      <c r="H269" s="92">
        <v>55161</v>
      </c>
      <c r="I269" s="92">
        <v>133</v>
      </c>
      <c r="J269" s="135">
        <f>GETPIVOTDATA("Usuarios afec",$A$3,"SE","CIT","Circuito",4040)/N269</f>
        <v>2.4917846048928908E-4</v>
      </c>
      <c r="K269" s="103">
        <f>GETPIVOTDATA("Suma de DEMUA",$A$3,"SE","CIT","Circuito",4040)/GETPIVOTDATA("Usuarios afec",$A$3,"SE","CIT","Circuito",4040)</f>
        <v>414.74436090225566</v>
      </c>
      <c r="L269" s="103">
        <f>GETPIVOTDATA("Duracion",$A$3,"SE","CIT","Circuito",4040)/GETPIVOTDATA("NI",$A$3,"SE","CIT","Circuito",4040)</f>
        <v>519.75</v>
      </c>
      <c r="M269" s="103">
        <f>GETPIVOTDATA("Usuarios afec",$A$3,"SE","CIT","Circuito",4040)/GETPIVOTDATA("NI",$A$3,"SE","CIT","Circuito",4040)</f>
        <v>33.25</v>
      </c>
      <c r="N269">
        <v>533754</v>
      </c>
    </row>
    <row r="270" spans="1:14" x14ac:dyDescent="0.25">
      <c r="A270" s="99" t="s">
        <v>315</v>
      </c>
      <c r="B270" s="100"/>
      <c r="C270" s="100"/>
      <c r="D270" s="101"/>
      <c r="E270" s="102">
        <v>10</v>
      </c>
      <c r="F270" s="102">
        <v>0.26266969427863773</v>
      </c>
      <c r="G270" s="102">
        <v>3700</v>
      </c>
      <c r="H270" s="102">
        <v>140201</v>
      </c>
      <c r="I270" s="102">
        <v>518</v>
      </c>
      <c r="J270" s="140">
        <f>GETPIVOTDATA("Usuarios afec",$A$3,"SE","CIT")/N270</f>
        <v>9.7048453032670483E-4</v>
      </c>
      <c r="K270" s="106">
        <f>GETPIVOTDATA("Suma de DEMUA",$A$3,"SE","CIT")/GETPIVOTDATA("Usuarios afec",$A$3,"SE","CIT")</f>
        <v>270.65830115830119</v>
      </c>
      <c r="L270" s="106">
        <f>GETPIVOTDATA("Duracion",$A$3,"SE","CIT")/GETPIVOTDATA("NI",$A$3,"SE","CIT")</f>
        <v>370</v>
      </c>
      <c r="M270" s="106">
        <f>GETPIVOTDATA("Usuarios afec",$A$3,"SE","CIT")/GETPIVOTDATA("NI",$A$3,"SE","CIT")</f>
        <v>51.8</v>
      </c>
      <c r="N270">
        <v>533754</v>
      </c>
    </row>
    <row r="271" spans="1:14" x14ac:dyDescent="0.25">
      <c r="A271" s="23" t="s">
        <v>393</v>
      </c>
      <c r="B271" s="51">
        <v>4020</v>
      </c>
      <c r="C271" s="79" t="s">
        <v>585</v>
      </c>
      <c r="D271" s="79" t="s">
        <v>36</v>
      </c>
      <c r="E271" s="4">
        <v>1</v>
      </c>
      <c r="F271" s="4">
        <v>2.1245742420665698E-2</v>
      </c>
      <c r="G271" s="4">
        <v>90</v>
      </c>
      <c r="H271" s="4">
        <v>11340</v>
      </c>
      <c r="I271" s="4">
        <v>126</v>
      </c>
      <c r="J271" s="134"/>
      <c r="K271" s="18"/>
      <c r="L271" s="18"/>
      <c r="M271" s="18"/>
      <c r="N271">
        <v>533754</v>
      </c>
    </row>
    <row r="272" spans="1:14" x14ac:dyDescent="0.25">
      <c r="A272" s="24"/>
      <c r="B272" s="51"/>
      <c r="C272" s="25" t="s">
        <v>852</v>
      </c>
      <c r="D272" s="79" t="s">
        <v>35</v>
      </c>
      <c r="E272" s="4">
        <v>1</v>
      </c>
      <c r="F272" s="4">
        <v>8.3933797217444744E-3</v>
      </c>
      <c r="G272" s="4">
        <v>56</v>
      </c>
      <c r="H272" s="4">
        <v>4480</v>
      </c>
      <c r="I272" s="4">
        <v>80</v>
      </c>
      <c r="J272" s="134"/>
      <c r="K272" s="18"/>
      <c r="L272" s="18"/>
      <c r="M272" s="18"/>
      <c r="N272">
        <v>533754</v>
      </c>
    </row>
    <row r="273" spans="1:14" x14ac:dyDescent="0.25">
      <c r="A273" s="24"/>
      <c r="B273" s="80" t="s">
        <v>76</v>
      </c>
      <c r="C273" s="80"/>
      <c r="D273" s="80"/>
      <c r="E273" s="92">
        <v>2</v>
      </c>
      <c r="F273" s="92">
        <v>2.9639122142410171E-2</v>
      </c>
      <c r="G273" s="92">
        <v>146</v>
      </c>
      <c r="H273" s="92">
        <v>15820</v>
      </c>
      <c r="I273" s="92">
        <v>206</v>
      </c>
      <c r="J273" s="135">
        <f>GETPIVOTDATA("Usuarios afec",$A$3,"SE","MAA","Circuito",4020)/N273</f>
        <v>3.8594558541950037E-4</v>
      </c>
      <c r="K273" s="103">
        <f>GETPIVOTDATA("Suma de DEMUA",$A$3,"SE","MAA","Circuito",4020)/GETPIVOTDATA("Usuarios afec",$A$3,"SE","MAA","Circuito",4020)</f>
        <v>76.796116504854368</v>
      </c>
      <c r="L273" s="103">
        <f>GETPIVOTDATA("Duracion",$A$3,"SE","MAA","Circuito",4020)/GETPIVOTDATA("NI",$A$3,"SE","MAA","Circuito",4020)</f>
        <v>73</v>
      </c>
      <c r="M273" s="103">
        <f>GETPIVOTDATA("Usuarios afec",$A$3,"SE","MAA","Circuito",4020)/GETPIVOTDATA("NI",$A$3,"SE","MAA","Circuito",4020)</f>
        <v>103</v>
      </c>
      <c r="N273">
        <v>533754</v>
      </c>
    </row>
    <row r="274" spans="1:14" x14ac:dyDescent="0.25">
      <c r="A274" s="24"/>
      <c r="B274" s="51">
        <v>4050</v>
      </c>
      <c r="C274" s="25" t="s">
        <v>577</v>
      </c>
      <c r="D274" s="25" t="s">
        <v>36</v>
      </c>
      <c r="E274" s="4">
        <v>1</v>
      </c>
      <c r="F274" s="4">
        <v>3.3165091034446578E-2</v>
      </c>
      <c r="G274" s="4">
        <v>167</v>
      </c>
      <c r="H274" s="4">
        <v>17702</v>
      </c>
      <c r="I274" s="4">
        <v>106</v>
      </c>
      <c r="J274" s="134"/>
      <c r="K274" s="18"/>
      <c r="L274" s="18"/>
      <c r="M274" s="18"/>
      <c r="N274">
        <v>533754</v>
      </c>
    </row>
    <row r="275" spans="1:14" x14ac:dyDescent="0.25">
      <c r="A275" s="24"/>
      <c r="B275" s="80" t="s">
        <v>312</v>
      </c>
      <c r="C275" s="80"/>
      <c r="D275" s="80"/>
      <c r="E275" s="92">
        <v>1</v>
      </c>
      <c r="F275" s="92">
        <v>3.3165091034446578E-2</v>
      </c>
      <c r="G275" s="92">
        <v>167</v>
      </c>
      <c r="H275" s="92">
        <v>17702</v>
      </c>
      <c r="I275" s="92">
        <v>106</v>
      </c>
      <c r="J275" s="135">
        <f>GETPIVOTDATA("Usuarios afec",$A$3,"SE","MAA","Circuito",4050)/N275</f>
        <v>1.9859335948770406E-4</v>
      </c>
      <c r="K275" s="103">
        <f>GETPIVOTDATA("Suma de DEMUA",$A$3,"SE","MAA","Circuito",4050)/GETPIVOTDATA("Usuarios afec",$A$3,"SE","MAA","Circuito",4050)</f>
        <v>167</v>
      </c>
      <c r="L275" s="103">
        <f>GETPIVOTDATA("Duracion",$A$3,"SE","MAA","Circuito",4050)/GETPIVOTDATA("NI",$A$3,"SE","MAA","Circuito",4050)</f>
        <v>167</v>
      </c>
      <c r="M275" s="103">
        <f>GETPIVOTDATA("Usuarios afec",$A$3,"SE","MAA","Circuito",4050)/GETPIVOTDATA("NI",$A$3,"SE","MAA","Circuito",4050)</f>
        <v>106</v>
      </c>
      <c r="N275">
        <v>533754</v>
      </c>
    </row>
    <row r="276" spans="1:14" x14ac:dyDescent="0.25">
      <c r="A276" s="24"/>
      <c r="B276" s="51">
        <v>4040</v>
      </c>
      <c r="C276" s="25" t="s">
        <v>394</v>
      </c>
      <c r="D276" s="25" t="s">
        <v>36</v>
      </c>
      <c r="E276" s="4">
        <v>1</v>
      </c>
      <c r="F276" s="4">
        <v>3.3723400667723336E-2</v>
      </c>
      <c r="G276" s="4">
        <v>225</v>
      </c>
      <c r="H276" s="4">
        <v>18000</v>
      </c>
      <c r="I276" s="4">
        <v>80</v>
      </c>
      <c r="J276" s="134"/>
      <c r="K276" s="18"/>
      <c r="L276" s="18"/>
      <c r="M276" s="18"/>
      <c r="N276">
        <v>533754</v>
      </c>
    </row>
    <row r="277" spans="1:14" x14ac:dyDescent="0.25">
      <c r="A277" s="24"/>
      <c r="B277" s="51"/>
      <c r="C277" s="25" t="s">
        <v>522</v>
      </c>
      <c r="D277" s="25" t="s">
        <v>35</v>
      </c>
      <c r="E277" s="4">
        <v>1</v>
      </c>
      <c r="F277" s="4">
        <v>2.7428365876414978E-2</v>
      </c>
      <c r="G277" s="4">
        <v>244</v>
      </c>
      <c r="H277" s="4">
        <v>14640</v>
      </c>
      <c r="I277" s="4">
        <v>60</v>
      </c>
      <c r="J277" s="134"/>
      <c r="K277" s="18"/>
      <c r="L277" s="18"/>
      <c r="M277" s="18"/>
      <c r="N277">
        <v>533754</v>
      </c>
    </row>
    <row r="278" spans="1:14" x14ac:dyDescent="0.25">
      <c r="A278" s="24"/>
      <c r="B278" s="51"/>
      <c r="C278" s="25" t="s">
        <v>650</v>
      </c>
      <c r="D278" s="25" t="s">
        <v>1054</v>
      </c>
      <c r="E278" s="4">
        <v>1</v>
      </c>
      <c r="F278" s="4">
        <v>6.7371860445073942E-2</v>
      </c>
      <c r="G278" s="4">
        <v>248</v>
      </c>
      <c r="H278" s="4">
        <v>35960</v>
      </c>
      <c r="I278" s="4">
        <v>145</v>
      </c>
      <c r="J278" s="134"/>
      <c r="K278" s="18"/>
      <c r="L278" s="18"/>
      <c r="M278" s="18"/>
      <c r="N278">
        <v>533754</v>
      </c>
    </row>
    <row r="279" spans="1:14" x14ac:dyDescent="0.25">
      <c r="A279" s="17"/>
      <c r="B279" s="80" t="s">
        <v>313</v>
      </c>
      <c r="C279" s="80"/>
      <c r="D279" s="80"/>
      <c r="E279" s="92">
        <v>3</v>
      </c>
      <c r="F279" s="92">
        <v>0.12852362698921227</v>
      </c>
      <c r="G279" s="92">
        <v>717</v>
      </c>
      <c r="H279" s="92">
        <v>68600</v>
      </c>
      <c r="I279" s="92">
        <v>285</v>
      </c>
      <c r="J279" s="135">
        <f>GETPIVOTDATA("Usuarios afec",$A$3,"SE","MAA","Circuito",4040)/N279</f>
        <v>5.3395384390561942E-4</v>
      </c>
      <c r="K279" s="103">
        <f>GETPIVOTDATA("Suma de DEMUA",$A$3,"SE","MAA","Circuito",4040)/GETPIVOTDATA("Usuarios afec",$A$3,"SE","MAA","Circuito",4040)</f>
        <v>240.7017543859649</v>
      </c>
      <c r="L279" s="103">
        <f>GETPIVOTDATA("Duracion",$A$3,"SE","MAA","Circuito",4040)/GETPIVOTDATA("NI",$A$3,"SE","MAA","Circuito",4040)</f>
        <v>239</v>
      </c>
      <c r="M279" s="103">
        <f>GETPIVOTDATA("Usuarios afec",$A$3,"SE","MAA","Circuito",4040)/GETPIVOTDATA("NI",$A$3,"SE","MAA","Circuito",4040)</f>
        <v>95</v>
      </c>
      <c r="N279">
        <v>533754</v>
      </c>
    </row>
    <row r="280" spans="1:14" x14ac:dyDescent="0.25">
      <c r="A280" s="99" t="s">
        <v>1034</v>
      </c>
      <c r="B280" s="100"/>
      <c r="C280" s="100"/>
      <c r="D280" s="101"/>
      <c r="E280" s="102">
        <v>6</v>
      </c>
      <c r="F280" s="102">
        <v>0.19132784016606902</v>
      </c>
      <c r="G280" s="102">
        <v>1030</v>
      </c>
      <c r="H280" s="102">
        <v>102122</v>
      </c>
      <c r="I280" s="102">
        <v>597</v>
      </c>
      <c r="J280" s="140">
        <f>GETPIVOTDATA("Usuarios afec",$A$3,"SE","MAA")/N280</f>
        <v>1.1184927888128239E-3</v>
      </c>
      <c r="K280" s="106">
        <f>GETPIVOTDATA("Suma de DEMUA",$A$3,"SE","MAA")/GETPIVOTDATA("Usuarios afec",$A$3,"SE","MAA")</f>
        <v>171.05862646566163</v>
      </c>
      <c r="L280" s="106">
        <f>GETPIVOTDATA("Duracion",$A$3,"SE","MAA")/GETPIVOTDATA("NI",$A$3,"SE","MAA")</f>
        <v>171.66666666666666</v>
      </c>
      <c r="M280" s="106">
        <f>GETPIVOTDATA("Usuarios afec",$A$3,"SE","MAA")/GETPIVOTDATA("NI",$A$3,"SE","MAA")</f>
        <v>99.5</v>
      </c>
      <c r="N280">
        <v>533754</v>
      </c>
    </row>
    <row r="281" spans="1:14" x14ac:dyDescent="0.25">
      <c r="A281" s="23" t="s">
        <v>430</v>
      </c>
      <c r="B281" s="23">
        <v>4032</v>
      </c>
      <c r="C281" s="2" t="s">
        <v>432</v>
      </c>
      <c r="D281" s="2" t="s">
        <v>35</v>
      </c>
      <c r="E281" s="4">
        <v>1</v>
      </c>
      <c r="F281" s="4">
        <v>6.1578929619262805E-2</v>
      </c>
      <c r="G281" s="4">
        <v>498</v>
      </c>
      <c r="H281" s="4">
        <v>32868</v>
      </c>
      <c r="I281" s="4">
        <v>66</v>
      </c>
      <c r="J281" s="134"/>
      <c r="K281" s="18"/>
      <c r="L281" s="18"/>
      <c r="M281" s="18"/>
      <c r="N281">
        <v>533754</v>
      </c>
    </row>
    <row r="282" spans="1:14" x14ac:dyDescent="0.25">
      <c r="A282" s="24"/>
      <c r="B282" s="24"/>
      <c r="C282" s="2" t="s">
        <v>743</v>
      </c>
      <c r="D282" s="2" t="s">
        <v>36</v>
      </c>
      <c r="E282" s="4">
        <v>1</v>
      </c>
      <c r="F282" s="4">
        <v>6.3699756816810744E-3</v>
      </c>
      <c r="G282" s="4">
        <v>136</v>
      </c>
      <c r="H282" s="4">
        <v>3400</v>
      </c>
      <c r="I282" s="4">
        <v>25</v>
      </c>
      <c r="J282" s="134"/>
      <c r="K282" s="18"/>
      <c r="L282" s="18"/>
      <c r="M282" s="18"/>
      <c r="N282">
        <v>533754</v>
      </c>
    </row>
    <row r="283" spans="1:14" x14ac:dyDescent="0.25">
      <c r="A283" s="24"/>
      <c r="B283" s="24"/>
      <c r="C283" s="2" t="s">
        <v>610</v>
      </c>
      <c r="D283" s="2" t="s">
        <v>36</v>
      </c>
      <c r="E283" s="4">
        <v>1</v>
      </c>
      <c r="F283" s="4">
        <v>2.1948313267909934E-2</v>
      </c>
      <c r="G283" s="4">
        <v>165</v>
      </c>
      <c r="H283" s="4">
        <v>11715</v>
      </c>
      <c r="I283" s="4">
        <v>71</v>
      </c>
      <c r="J283" s="134"/>
      <c r="K283" s="18"/>
      <c r="L283" s="18"/>
      <c r="M283" s="18"/>
      <c r="N283">
        <v>533754</v>
      </c>
    </row>
    <row r="284" spans="1:14" x14ac:dyDescent="0.25">
      <c r="A284" s="24"/>
      <c r="B284" s="17"/>
      <c r="C284" s="2" t="s">
        <v>848</v>
      </c>
      <c r="D284" s="2" t="s">
        <v>36</v>
      </c>
      <c r="E284" s="4">
        <v>1</v>
      </c>
      <c r="F284" s="4">
        <v>1.4098255001367672E-2</v>
      </c>
      <c r="G284" s="4">
        <v>215</v>
      </c>
      <c r="H284" s="4">
        <v>7525</v>
      </c>
      <c r="I284" s="4">
        <v>35</v>
      </c>
      <c r="J284" s="134"/>
      <c r="K284" s="18"/>
      <c r="L284" s="18"/>
      <c r="M284" s="18"/>
      <c r="N284">
        <v>533754</v>
      </c>
    </row>
    <row r="285" spans="1:14" x14ac:dyDescent="0.25">
      <c r="A285" s="17"/>
      <c r="B285" s="89" t="s">
        <v>74</v>
      </c>
      <c r="C285" s="90"/>
      <c r="D285" s="91"/>
      <c r="E285" s="92">
        <v>4</v>
      </c>
      <c r="F285" s="92">
        <v>0.1039954735702215</v>
      </c>
      <c r="G285" s="92">
        <v>1014</v>
      </c>
      <c r="H285" s="92">
        <v>55508</v>
      </c>
      <c r="I285" s="92">
        <v>197</v>
      </c>
      <c r="J285" s="135">
        <f>GETPIVOTDATA("Usuarios afec",$A$3,"SE","COP","Circuito",4032)/N285</f>
        <v>3.6908388508563871E-4</v>
      </c>
      <c r="K285" s="103">
        <f>GETPIVOTDATA("Suma de DEMUA",$A$3,"SE","COP","Circuito",4032)/GETPIVOTDATA("Usuarios afec",$A$3,"SE","COP","Circuito",4032)</f>
        <v>281.76649746192891</v>
      </c>
      <c r="L285" s="103">
        <f>GETPIVOTDATA("Duracion",$A$3,"SE","COP","Circuito",4032)/GETPIVOTDATA("NI",$A$3,"SE","COP","Circuito",4032)</f>
        <v>253.5</v>
      </c>
      <c r="M285" s="103">
        <f>GETPIVOTDATA("Usuarios afec",$A$3,"SE","COP","Circuito",4032)/GETPIVOTDATA("NI",$A$3,"SE","COP","Circuito",4032)</f>
        <v>49.25</v>
      </c>
      <c r="N285">
        <v>533754</v>
      </c>
    </row>
    <row r="286" spans="1:14" x14ac:dyDescent="0.25">
      <c r="A286" s="99" t="s">
        <v>1024</v>
      </c>
      <c r="B286" s="100"/>
      <c r="C286" s="100"/>
      <c r="D286" s="101"/>
      <c r="E286" s="102">
        <v>4</v>
      </c>
      <c r="F286" s="102">
        <v>0.1039954735702215</v>
      </c>
      <c r="G286" s="102">
        <v>1014</v>
      </c>
      <c r="H286" s="102">
        <v>55508</v>
      </c>
      <c r="I286" s="102">
        <v>197</v>
      </c>
      <c r="J286" s="140">
        <f>GETPIVOTDATA("Usuarios afec",$A$3,"SE","COP")/N286</f>
        <v>3.6908388508563871E-4</v>
      </c>
      <c r="K286" s="106">
        <f>GETPIVOTDATA("Suma de DEMUA",$A$3,"SE","COP")/GETPIVOTDATA("Usuarios afec",$A$3,"SE","COP")</f>
        <v>281.76649746192891</v>
      </c>
      <c r="L286" s="106">
        <f>GETPIVOTDATA("Duracion",$A$3,"SE","COP")/GETPIVOTDATA("NI",$A$3,"SE","COP")</f>
        <v>253.5</v>
      </c>
      <c r="M286" s="106">
        <f>GETPIVOTDATA("Usuarios afec",$A$3,"SE","COP")/GETPIVOTDATA("NI",$A$3,"SE","COP")</f>
        <v>49.25</v>
      </c>
      <c r="N286">
        <v>533754</v>
      </c>
    </row>
    <row r="287" spans="1:14" x14ac:dyDescent="0.25">
      <c r="A287" s="23" t="s">
        <v>203</v>
      </c>
      <c r="B287" s="51">
        <v>4025</v>
      </c>
      <c r="C287" s="25" t="s">
        <v>205</v>
      </c>
      <c r="D287" s="25" t="s">
        <v>36</v>
      </c>
      <c r="E287" s="4">
        <v>1</v>
      </c>
      <c r="F287" s="4">
        <v>4.720151980125676E-2</v>
      </c>
      <c r="G287" s="4">
        <v>442</v>
      </c>
      <c r="H287" s="4">
        <v>25194</v>
      </c>
      <c r="I287" s="4">
        <v>57</v>
      </c>
      <c r="J287" s="134"/>
      <c r="K287" s="18"/>
      <c r="L287" s="18"/>
      <c r="M287" s="18"/>
      <c r="N287">
        <v>533754</v>
      </c>
    </row>
    <row r="288" spans="1:14" x14ac:dyDescent="0.25">
      <c r="A288" s="24"/>
      <c r="B288" s="51"/>
      <c r="C288" s="25" t="s">
        <v>224</v>
      </c>
      <c r="D288" s="25" t="s">
        <v>36</v>
      </c>
      <c r="E288" s="4">
        <v>1</v>
      </c>
      <c r="F288" s="4">
        <v>7.3086103335993739E-3</v>
      </c>
      <c r="G288" s="4">
        <v>47</v>
      </c>
      <c r="H288" s="4">
        <v>3901</v>
      </c>
      <c r="I288" s="4">
        <v>83</v>
      </c>
      <c r="J288" s="134"/>
      <c r="K288" s="18"/>
      <c r="L288" s="18"/>
      <c r="M288" s="18"/>
      <c r="N288">
        <v>533754</v>
      </c>
    </row>
    <row r="289" spans="1:14" x14ac:dyDescent="0.25">
      <c r="A289" s="24"/>
      <c r="B289" s="51"/>
      <c r="C289" s="25" t="s">
        <v>253</v>
      </c>
      <c r="D289" s="25" t="s">
        <v>36</v>
      </c>
      <c r="E289" s="4">
        <v>1</v>
      </c>
      <c r="F289" s="4">
        <v>1.5407847060630928E-2</v>
      </c>
      <c r="G289" s="4">
        <v>32</v>
      </c>
      <c r="H289" s="4">
        <v>8224</v>
      </c>
      <c r="I289" s="4">
        <v>257</v>
      </c>
      <c r="J289" s="134"/>
      <c r="K289" s="18"/>
      <c r="L289" s="18"/>
      <c r="M289" s="18"/>
      <c r="N289">
        <v>533754</v>
      </c>
    </row>
    <row r="290" spans="1:14" x14ac:dyDescent="0.25">
      <c r="A290" s="17"/>
      <c r="B290" s="80" t="s">
        <v>316</v>
      </c>
      <c r="C290" s="80"/>
      <c r="D290" s="80"/>
      <c r="E290" s="92">
        <v>3</v>
      </c>
      <c r="F290" s="92">
        <v>6.9917977195487063E-2</v>
      </c>
      <c r="G290" s="92">
        <v>521</v>
      </c>
      <c r="H290" s="92">
        <v>37319</v>
      </c>
      <c r="I290" s="92">
        <v>397</v>
      </c>
      <c r="J290" s="135">
        <f>GETPIVOTDATA("Usuarios afec",$A$3,"SE","MPE","Circuito",4025)/N290</f>
        <v>7.4378833694923132E-4</v>
      </c>
      <c r="K290" s="103">
        <f>GETPIVOTDATA("Suma de DEMUA",$A$3,"SE","MPE","Circuito",4025)/GETPIVOTDATA("Usuarios afec",$A$3,"SE","MPE","Circuito",4025)</f>
        <v>94.002518891687657</v>
      </c>
      <c r="L290" s="103">
        <f>GETPIVOTDATA("Duracion",$A$3,"SE","MPE","Circuito",4025)/GETPIVOTDATA("NI",$A$3,"SE","MPE","Circuito",4025)</f>
        <v>173.66666666666666</v>
      </c>
      <c r="M290" s="103">
        <f>GETPIVOTDATA("Usuarios afec",$A$3,"SE","MPE","Circuito",4025)/GETPIVOTDATA("NI",$A$3,"SE","MPE","Circuito",4025)</f>
        <v>132.33333333333334</v>
      </c>
      <c r="N290">
        <v>533754</v>
      </c>
    </row>
    <row r="291" spans="1:14" x14ac:dyDescent="0.25">
      <c r="A291" s="99" t="s">
        <v>317</v>
      </c>
      <c r="B291" s="100"/>
      <c r="C291" s="100"/>
      <c r="D291" s="101"/>
      <c r="E291" s="102">
        <v>3</v>
      </c>
      <c r="F291" s="102">
        <v>6.9917977195487063E-2</v>
      </c>
      <c r="G291" s="102">
        <v>521</v>
      </c>
      <c r="H291" s="102">
        <v>37319</v>
      </c>
      <c r="I291" s="102">
        <v>397</v>
      </c>
      <c r="J291" s="140">
        <f>GETPIVOTDATA("Usuarios afec",$A$3,"SE","MPE")/N291</f>
        <v>7.4378833694923132E-4</v>
      </c>
      <c r="K291" s="106">
        <f>GETPIVOTDATA("Suma de DEMUA",$A$3,"SE","MPE")/GETPIVOTDATA("Usuarios afec",$A$3,"SE","MPE")</f>
        <v>94.002518891687657</v>
      </c>
      <c r="L291" s="106">
        <f>GETPIVOTDATA("Duracion",$A$3,"SE","MPE")/GETPIVOTDATA("NI",$A$3,"SE","MPE")</f>
        <v>173.66666666666666</v>
      </c>
      <c r="M291" s="106">
        <f>GETPIVOTDATA("Usuarios afec",$A$3,"SE","MPE")/GETPIVOTDATA("NI",$A$3,"SE","MPE")</f>
        <v>132.33333333333334</v>
      </c>
      <c r="N291">
        <v>533754</v>
      </c>
    </row>
    <row r="292" spans="1:14" x14ac:dyDescent="0.25">
      <c r="A292" s="23" t="s">
        <v>199</v>
      </c>
      <c r="B292" s="51">
        <v>4015</v>
      </c>
      <c r="C292" s="25" t="s">
        <v>200</v>
      </c>
      <c r="D292" s="25" t="s">
        <v>36</v>
      </c>
      <c r="E292" s="4">
        <v>1</v>
      </c>
      <c r="F292" s="4">
        <v>4.9131247728354262E-2</v>
      </c>
      <c r="G292" s="4">
        <v>298</v>
      </c>
      <c r="H292" s="4">
        <v>26224</v>
      </c>
      <c r="I292" s="4">
        <v>88</v>
      </c>
      <c r="J292" s="134"/>
      <c r="K292" s="18"/>
      <c r="L292" s="18"/>
      <c r="M292" s="18"/>
      <c r="N292">
        <v>533754</v>
      </c>
    </row>
    <row r="293" spans="1:14" x14ac:dyDescent="0.25">
      <c r="A293" s="17"/>
      <c r="B293" s="80" t="s">
        <v>73</v>
      </c>
      <c r="C293" s="80"/>
      <c r="D293" s="80"/>
      <c r="E293" s="92">
        <v>1</v>
      </c>
      <c r="F293" s="92">
        <v>4.9131247728354262E-2</v>
      </c>
      <c r="G293" s="92">
        <v>298</v>
      </c>
      <c r="H293" s="92">
        <v>26224</v>
      </c>
      <c r="I293" s="92">
        <v>88</v>
      </c>
      <c r="J293" s="135">
        <f>GETPIVOTDATA("Usuarios afec",$A$3,"SE","PED","Circuito",4015)/N293</f>
        <v>1.6486995881998074E-4</v>
      </c>
      <c r="K293" s="103">
        <f>GETPIVOTDATA("Suma de DEMUA",$A$3,"SE","PED","Circuito",4015)/GETPIVOTDATA("Usuarios afec",$A$3,"SE","PED","Circuito",4015)</f>
        <v>298</v>
      </c>
      <c r="L293" s="103">
        <f>GETPIVOTDATA("Duracion",$A$3,"SE","PED","Circuito",4015)/GETPIVOTDATA("NI",$A$3,"SE","PED","Circuito",4015)</f>
        <v>298</v>
      </c>
      <c r="M293" s="103">
        <f>GETPIVOTDATA("Usuarios afec",$A$3,"SE","PED","Circuito",4015)/GETPIVOTDATA("NI",$A$3,"SE","PED","Circuito",4015)</f>
        <v>88</v>
      </c>
      <c r="N293">
        <v>533754</v>
      </c>
    </row>
    <row r="294" spans="1:14" x14ac:dyDescent="0.25">
      <c r="A294" s="99" t="s">
        <v>318</v>
      </c>
      <c r="B294" s="100"/>
      <c r="C294" s="100"/>
      <c r="D294" s="101"/>
      <c r="E294" s="102">
        <v>1</v>
      </c>
      <c r="F294" s="102">
        <v>4.9131247728354262E-2</v>
      </c>
      <c r="G294" s="102">
        <v>298</v>
      </c>
      <c r="H294" s="102">
        <v>26224</v>
      </c>
      <c r="I294" s="102">
        <v>88</v>
      </c>
      <c r="J294" s="140">
        <f>GETPIVOTDATA("Usuarios afec",$A$3,"SE","PED")/N294</f>
        <v>1.6486995881998074E-4</v>
      </c>
      <c r="K294" s="106">
        <f>GETPIVOTDATA("Suma de DEMUA",$A$3,"SE","PED")/GETPIVOTDATA("Usuarios afec",$A$3,"SE","PED")</f>
        <v>298</v>
      </c>
      <c r="L294" s="106">
        <f>GETPIVOTDATA("Duracion",$A$3,"SE","PED")/GETPIVOTDATA("NI",$A$3,"SE","PED")</f>
        <v>298</v>
      </c>
      <c r="M294" s="106">
        <f>GETPIVOTDATA("Usuarios afec",$A$3,"SE","PED")/GETPIVOTDATA("NI",$A$3,"SE","PED")</f>
        <v>88</v>
      </c>
      <c r="N294">
        <v>533754</v>
      </c>
    </row>
    <row r="295" spans="1:14" x14ac:dyDescent="0.25">
      <c r="A295" s="23" t="s">
        <v>450</v>
      </c>
      <c r="B295" s="51">
        <v>4012</v>
      </c>
      <c r="C295" s="79" t="s">
        <v>451</v>
      </c>
      <c r="D295" s="79" t="s">
        <v>36</v>
      </c>
      <c r="E295" s="4">
        <v>1</v>
      </c>
      <c r="F295" s="4">
        <v>2.577966628821517E-2</v>
      </c>
      <c r="G295" s="4">
        <v>320</v>
      </c>
      <c r="H295" s="4">
        <v>13760</v>
      </c>
      <c r="I295" s="4">
        <v>43</v>
      </c>
      <c r="J295" s="134"/>
      <c r="K295" s="18"/>
      <c r="L295" s="18"/>
      <c r="M295" s="18"/>
      <c r="N295">
        <v>533754</v>
      </c>
    </row>
    <row r="296" spans="1:14" x14ac:dyDescent="0.25">
      <c r="A296" s="24"/>
      <c r="B296" s="51"/>
      <c r="C296" s="25" t="s">
        <v>713</v>
      </c>
      <c r="D296" s="79" t="s">
        <v>36</v>
      </c>
      <c r="E296" s="4">
        <v>1</v>
      </c>
      <c r="F296" s="4">
        <v>1.8997515709484145E-2</v>
      </c>
      <c r="G296" s="4">
        <v>130</v>
      </c>
      <c r="H296" s="4">
        <v>10140</v>
      </c>
      <c r="I296" s="4">
        <v>78</v>
      </c>
      <c r="J296" s="134"/>
      <c r="K296" s="18"/>
      <c r="L296" s="18"/>
      <c r="M296" s="18"/>
      <c r="N296">
        <v>533754</v>
      </c>
    </row>
    <row r="297" spans="1:14" x14ac:dyDescent="0.25">
      <c r="A297" s="17"/>
      <c r="B297" s="80" t="s">
        <v>309</v>
      </c>
      <c r="C297" s="80"/>
      <c r="D297" s="80"/>
      <c r="E297" s="92">
        <v>2</v>
      </c>
      <c r="F297" s="92">
        <v>4.4777181997699311E-2</v>
      </c>
      <c r="G297" s="92">
        <v>450</v>
      </c>
      <c r="H297" s="92">
        <v>23900</v>
      </c>
      <c r="I297" s="92">
        <v>121</v>
      </c>
      <c r="J297" s="135">
        <f>GETPIVOTDATA("Usuarios afec",$A$3,"SE","SMJ","Circuito",4012)/N297</f>
        <v>2.2669619337747351E-4</v>
      </c>
      <c r="K297" s="103">
        <f>GETPIVOTDATA("Suma de DEMUA",$A$3,"SE","SMJ","Circuito",4012)/GETPIVOTDATA("Usuarios afec",$A$3,"SE","SMJ","Circuito",4012)</f>
        <v>197.52066115702479</v>
      </c>
      <c r="L297" s="103">
        <f>GETPIVOTDATA("Duracion",$A$3,"SE","SMJ","Circuito",4012)/GETPIVOTDATA("NI",$A$3,"SE","SMJ","Circuito",4012)</f>
        <v>225</v>
      </c>
      <c r="M297" s="103">
        <f>GETPIVOTDATA("Usuarios afec",$A$3,"SE","SMJ","Circuito",4012)/GETPIVOTDATA("NI",$A$3,"SE","SMJ","Circuito",4012)</f>
        <v>60.5</v>
      </c>
      <c r="N297">
        <v>533754</v>
      </c>
    </row>
    <row r="298" spans="1:14" x14ac:dyDescent="0.25">
      <c r="A298" s="99" t="s">
        <v>1035</v>
      </c>
      <c r="B298" s="100"/>
      <c r="C298" s="100"/>
      <c r="D298" s="101"/>
      <c r="E298" s="102">
        <v>2</v>
      </c>
      <c r="F298" s="102">
        <v>4.4777181997699311E-2</v>
      </c>
      <c r="G298" s="102">
        <v>450</v>
      </c>
      <c r="H298" s="102">
        <v>23900</v>
      </c>
      <c r="I298" s="102">
        <v>121</v>
      </c>
      <c r="J298" s="140">
        <f>GETPIVOTDATA("Usuarios afec",$A$3,"SE","SMJ")/N298</f>
        <v>2.2669619337747351E-4</v>
      </c>
      <c r="K298" s="106">
        <f>GETPIVOTDATA("Suma de DEMUA",$A$3,"SE","SMJ")/GETPIVOTDATA("Usuarios afec",$A$3,"SE","SMJ")</f>
        <v>197.52066115702479</v>
      </c>
      <c r="L298" s="106">
        <f>GETPIVOTDATA("Duracion",$A$3,"SE","SMJ")/GETPIVOTDATA("NI",$A$3,"SE","SMJ")</f>
        <v>225</v>
      </c>
      <c r="M298" s="106">
        <f>GETPIVOTDATA("Usuarios afec",$A$3,"SE","SMJ")/GETPIVOTDATA("NI",$A$3,"SE","SMJ")</f>
        <v>60.5</v>
      </c>
      <c r="N298">
        <v>533754</v>
      </c>
    </row>
    <row r="299" spans="1:14" x14ac:dyDescent="0.25">
      <c r="A299" s="23" t="s">
        <v>336</v>
      </c>
      <c r="B299" s="23">
        <v>4015</v>
      </c>
      <c r="C299" s="2" t="s">
        <v>889</v>
      </c>
      <c r="D299" s="2" t="s">
        <v>35</v>
      </c>
      <c r="E299" s="4">
        <v>1</v>
      </c>
      <c r="F299" s="4">
        <v>8.6182023928626297E-3</v>
      </c>
      <c r="G299" s="4">
        <v>40</v>
      </c>
      <c r="H299" s="4">
        <v>4600</v>
      </c>
      <c r="I299" s="4">
        <v>115</v>
      </c>
      <c r="J299" s="134"/>
      <c r="K299" s="18"/>
      <c r="L299" s="18"/>
      <c r="M299" s="18"/>
      <c r="N299">
        <v>533754</v>
      </c>
    </row>
    <row r="300" spans="1:14" x14ac:dyDescent="0.25">
      <c r="A300" s="24"/>
      <c r="B300" s="17"/>
      <c r="C300" s="2" t="s">
        <v>338</v>
      </c>
      <c r="D300" s="2" t="s">
        <v>36</v>
      </c>
      <c r="E300" s="4">
        <v>1</v>
      </c>
      <c r="F300" s="4">
        <v>2.7793702716981981E-2</v>
      </c>
      <c r="G300" s="4">
        <v>129</v>
      </c>
      <c r="H300" s="4">
        <v>14835</v>
      </c>
      <c r="I300" s="4">
        <v>115</v>
      </c>
      <c r="J300" s="134"/>
      <c r="K300" s="18"/>
      <c r="L300" s="18"/>
      <c r="M300" s="18"/>
      <c r="N300">
        <v>533754</v>
      </c>
    </row>
    <row r="301" spans="1:14" x14ac:dyDescent="0.25">
      <c r="A301" s="17"/>
      <c r="B301" s="89" t="s">
        <v>73</v>
      </c>
      <c r="C301" s="90"/>
      <c r="D301" s="91"/>
      <c r="E301" s="92">
        <v>2</v>
      </c>
      <c r="F301" s="92">
        <v>3.6411905109844614E-2</v>
      </c>
      <c r="G301" s="92">
        <v>169</v>
      </c>
      <c r="H301" s="92">
        <v>19435</v>
      </c>
      <c r="I301" s="92">
        <v>230</v>
      </c>
      <c r="J301" s="135">
        <f>GETPIVOTDATA("Usuarios afec",$A$3,"SE","AAA","Circuito",4015)/N301</f>
        <v>4.3091011964313145E-4</v>
      </c>
      <c r="K301" s="103">
        <f>GETPIVOTDATA("Suma de DEMUA",$A$3,"SE","AAA","Circuito",4015)/GETPIVOTDATA("Usuarios afec",$A$3,"SE","AAA","Circuito",4015)</f>
        <v>84.5</v>
      </c>
      <c r="L301" s="103">
        <f>GETPIVOTDATA("Duracion",$A$3,"SE","AAA","Circuito",4015)/GETPIVOTDATA("NI",$A$3,"SE","AAA","Circuito",4015)</f>
        <v>84.5</v>
      </c>
      <c r="M301" s="103">
        <f>GETPIVOTDATA("Usuarios afec",$A$3,"SE","AAA","Circuito",4015)/GETPIVOTDATA("NI",$A$3,"SE","AAA","Circuito",4015)</f>
        <v>115</v>
      </c>
      <c r="N301">
        <v>533754</v>
      </c>
    </row>
    <row r="302" spans="1:14" x14ac:dyDescent="0.25">
      <c r="A302" s="99" t="s">
        <v>1025</v>
      </c>
      <c r="B302" s="100"/>
      <c r="C302" s="100"/>
      <c r="D302" s="101"/>
      <c r="E302" s="102">
        <v>2</v>
      </c>
      <c r="F302" s="102">
        <v>3.6411905109844614E-2</v>
      </c>
      <c r="G302" s="102">
        <v>169</v>
      </c>
      <c r="H302" s="102">
        <v>19435</v>
      </c>
      <c r="I302" s="102">
        <v>230</v>
      </c>
      <c r="J302" s="140">
        <f>GETPIVOTDATA("Usuarios afec",$A$3,"SE","AAA")/N302</f>
        <v>4.3091011964313145E-4</v>
      </c>
      <c r="K302" s="106">
        <f>GETPIVOTDATA("Suma de DEMUA",$A$3,"SE","AAA")/GETPIVOTDATA("Usuarios afec",$A$3,"SE","AAA")</f>
        <v>84.5</v>
      </c>
      <c r="L302" s="106">
        <f>GETPIVOTDATA("Duracion",$A$3,"SE","AAA")/GETPIVOTDATA("NI",$A$3,"SE","AAA")</f>
        <v>84.5</v>
      </c>
      <c r="M302" s="106">
        <f>GETPIVOTDATA("Usuarios afec",$A$3,"SE","AAA")/GETPIVOTDATA("NI",$A$3,"SE","AAA")</f>
        <v>115</v>
      </c>
      <c r="N302">
        <v>533754</v>
      </c>
    </row>
    <row r="303" spans="1:14" x14ac:dyDescent="0.25">
      <c r="A303" s="23" t="s">
        <v>551</v>
      </c>
      <c r="B303" s="51">
        <v>4035</v>
      </c>
      <c r="C303" s="51" t="s">
        <v>911</v>
      </c>
      <c r="D303" s="51" t="s">
        <v>109</v>
      </c>
      <c r="E303" s="4">
        <v>1</v>
      </c>
      <c r="F303" s="4">
        <v>9.4256904866286718E-3</v>
      </c>
      <c r="G303" s="4">
        <v>129</v>
      </c>
      <c r="H303" s="4">
        <v>5031</v>
      </c>
      <c r="I303" s="4">
        <v>39</v>
      </c>
      <c r="J303" s="134"/>
      <c r="K303" s="18"/>
      <c r="L303" s="18"/>
      <c r="M303" s="18"/>
      <c r="N303">
        <v>533754</v>
      </c>
    </row>
    <row r="304" spans="1:14" x14ac:dyDescent="0.25">
      <c r="A304" s="24"/>
      <c r="B304" s="51"/>
      <c r="C304" s="51" t="s">
        <v>940</v>
      </c>
      <c r="D304" s="51" t="s">
        <v>109</v>
      </c>
      <c r="E304" s="4">
        <v>1</v>
      </c>
      <c r="F304" s="4">
        <v>4.0468080801268E-3</v>
      </c>
      <c r="G304" s="4">
        <v>60</v>
      </c>
      <c r="H304" s="4">
        <v>2160</v>
      </c>
      <c r="I304" s="4">
        <v>36</v>
      </c>
      <c r="J304" s="134"/>
      <c r="K304" s="18"/>
      <c r="L304" s="18"/>
      <c r="M304" s="18"/>
      <c r="N304">
        <v>533754</v>
      </c>
    </row>
    <row r="305" spans="1:14" x14ac:dyDescent="0.25">
      <c r="A305" s="24"/>
      <c r="B305" s="80" t="s">
        <v>1019</v>
      </c>
      <c r="C305" s="80"/>
      <c r="D305" s="80"/>
      <c r="E305" s="92">
        <v>2</v>
      </c>
      <c r="F305" s="92">
        <v>1.3472498566755472E-2</v>
      </c>
      <c r="G305" s="92">
        <v>189</v>
      </c>
      <c r="H305" s="92">
        <v>7191</v>
      </c>
      <c r="I305" s="92">
        <v>75</v>
      </c>
      <c r="J305" s="135">
        <f>GETPIVOTDATA("Usuarios afec",$A$3,"SE","SOY","Circuito",4035)/N305</f>
        <v>1.4051416944884721E-4</v>
      </c>
      <c r="K305" s="103">
        <f>GETPIVOTDATA("Suma de DEMUA",$A$3,"SE","SOY","Circuito",4035)/GETPIVOTDATA("Usuarios afec",$A$3,"SE","SOY","Circuito",4035)</f>
        <v>95.88</v>
      </c>
      <c r="L305" s="103">
        <f>GETPIVOTDATA("Duracion",$A$3,"SE","SOY","Circuito",4035)/GETPIVOTDATA("NI",$A$3,"SE","SOY","Circuito",4035)</f>
        <v>94.5</v>
      </c>
      <c r="M305" s="103">
        <f>GETPIVOTDATA("Usuarios afec",$A$3,"SE","SOY","Circuito",4035)/GETPIVOTDATA("NI",$A$3,"SE","SOY","Circuito",4035)</f>
        <v>37.5</v>
      </c>
      <c r="N305">
        <v>533754</v>
      </c>
    </row>
    <row r="306" spans="1:14" x14ac:dyDescent="0.25">
      <c r="A306" s="24"/>
      <c r="B306" s="51">
        <v>4025</v>
      </c>
      <c r="C306" s="51" t="s">
        <v>20</v>
      </c>
      <c r="D306" s="51" t="s">
        <v>35</v>
      </c>
      <c r="E306" s="4">
        <v>1</v>
      </c>
      <c r="F306" s="4">
        <v>5.9465596510752143E-3</v>
      </c>
      <c r="G306" s="4">
        <v>69</v>
      </c>
      <c r="H306" s="4">
        <v>3174</v>
      </c>
      <c r="I306" s="4">
        <v>46</v>
      </c>
      <c r="J306" s="134"/>
      <c r="K306" s="18"/>
      <c r="L306" s="18"/>
      <c r="M306" s="18"/>
      <c r="N306">
        <v>533754</v>
      </c>
    </row>
    <row r="307" spans="1:14" x14ac:dyDescent="0.25">
      <c r="A307" s="17"/>
      <c r="B307" s="80" t="s">
        <v>316</v>
      </c>
      <c r="C307" s="80"/>
      <c r="D307" s="80"/>
      <c r="E307" s="92">
        <v>1</v>
      </c>
      <c r="F307" s="92">
        <v>5.9465596510752143E-3</v>
      </c>
      <c r="G307" s="92">
        <v>69</v>
      </c>
      <c r="H307" s="92">
        <v>3174</v>
      </c>
      <c r="I307" s="92">
        <v>46</v>
      </c>
      <c r="J307" s="135">
        <f>GETPIVOTDATA("Usuarios afec",$A$3,"SE","SOY","Circuito",4025)/N307</f>
        <v>8.6182023928626302E-5</v>
      </c>
      <c r="K307" s="103">
        <f>GETPIVOTDATA("Suma de DEMUA",$A$3,"SE","SOY","Circuito",4025)/GETPIVOTDATA("Usuarios afec",$A$3,"SE","SOY","Circuito",4025)</f>
        <v>69</v>
      </c>
      <c r="L307" s="103">
        <f>GETPIVOTDATA("Duracion",$A$3,"SE","SOY","Circuito",4025)/GETPIVOTDATA("NI",$A$3,"SE","SOY","Circuito",4025)</f>
        <v>69</v>
      </c>
      <c r="M307" s="103">
        <f>GETPIVOTDATA("Usuarios afec",$A$3,"SE","SOY","Circuito",4025)/GETPIVOTDATA("NI",$A$3,"SE","SOY","Circuito",4025)</f>
        <v>46</v>
      </c>
      <c r="N307">
        <v>533754</v>
      </c>
    </row>
    <row r="308" spans="1:14" x14ac:dyDescent="0.25">
      <c r="A308" s="99" t="s">
        <v>1036</v>
      </c>
      <c r="B308" s="100"/>
      <c r="C308" s="100"/>
      <c r="D308" s="101"/>
      <c r="E308" s="102">
        <v>3</v>
      </c>
      <c r="F308" s="102">
        <v>1.9419058217830687E-2</v>
      </c>
      <c r="G308" s="102">
        <v>258</v>
      </c>
      <c r="H308" s="102">
        <v>10365</v>
      </c>
      <c r="I308" s="102">
        <v>121</v>
      </c>
      <c r="J308" s="140">
        <f>GETPIVOTDATA("Usuarios afec",$A$3,"SE","SOY")/N308</f>
        <v>2.2669619337747351E-4</v>
      </c>
      <c r="K308" s="106">
        <f>GETPIVOTDATA("Suma de DEMUA",$A$3,"SE","SOY")/GETPIVOTDATA("Usuarios afec",$A$3,"SE","SOY")</f>
        <v>85.661157024793383</v>
      </c>
      <c r="L308" s="106">
        <f>GETPIVOTDATA("Duracion",$A$3,"SE","SOY")/GETPIVOTDATA("NI",$A$3,"SE","SOY")</f>
        <v>86</v>
      </c>
      <c r="M308" s="106">
        <f>GETPIVOTDATA("Usuarios afec",$A$3,"SE","SOY")/GETPIVOTDATA("NI",$A$3,"SE","SOY")</f>
        <v>40.333333333333336</v>
      </c>
      <c r="N308">
        <v>533754</v>
      </c>
    </row>
    <row r="309" spans="1:14" x14ac:dyDescent="0.25">
      <c r="A309" s="23" t="s">
        <v>417</v>
      </c>
      <c r="B309" s="51">
        <v>73730</v>
      </c>
      <c r="C309" s="51" t="s">
        <v>16</v>
      </c>
      <c r="D309" s="51" t="s">
        <v>418</v>
      </c>
      <c r="E309" s="4"/>
      <c r="F309" s="4">
        <v>0</v>
      </c>
      <c r="G309" s="4">
        <v>0</v>
      </c>
      <c r="H309" s="4">
        <v>0</v>
      </c>
      <c r="I309" s="4">
        <v>0</v>
      </c>
      <c r="J309" s="134"/>
      <c r="K309" s="18"/>
      <c r="L309" s="18"/>
      <c r="M309" s="18"/>
      <c r="N309">
        <v>533754</v>
      </c>
    </row>
    <row r="310" spans="1:14" x14ac:dyDescent="0.25">
      <c r="A310" s="17"/>
      <c r="B310" s="80" t="s">
        <v>1037</v>
      </c>
      <c r="C310" s="80"/>
      <c r="D310" s="80"/>
      <c r="E310" s="92"/>
      <c r="F310" s="92">
        <v>0</v>
      </c>
      <c r="G310" s="92">
        <v>0</v>
      </c>
      <c r="H310" s="92">
        <v>0</v>
      </c>
      <c r="I310" s="92">
        <v>0</v>
      </c>
      <c r="J310" s="135"/>
      <c r="K310" s="103"/>
      <c r="L310" s="103"/>
      <c r="M310" s="103"/>
      <c r="N310">
        <v>533754</v>
      </c>
    </row>
    <row r="311" spans="1:14" x14ac:dyDescent="0.25">
      <c r="A311" s="25" t="s">
        <v>1038</v>
      </c>
      <c r="B311" s="26"/>
      <c r="C311" s="26"/>
      <c r="D311" s="27"/>
      <c r="E311" s="4"/>
      <c r="F311" s="4">
        <v>0</v>
      </c>
      <c r="G311" s="4">
        <v>0</v>
      </c>
      <c r="H311" s="4">
        <v>0</v>
      </c>
      <c r="I311" s="4">
        <v>0</v>
      </c>
      <c r="J311" s="134"/>
      <c r="K311" s="18"/>
      <c r="L311" s="18"/>
      <c r="M311" s="18"/>
      <c r="N311">
        <v>533754</v>
      </c>
    </row>
    <row r="312" spans="1:14" x14ac:dyDescent="0.25">
      <c r="A312" s="25" t="s">
        <v>28</v>
      </c>
      <c r="B312" s="26"/>
      <c r="C312" s="26"/>
      <c r="D312" s="27"/>
      <c r="E312" s="4">
        <v>226</v>
      </c>
      <c r="F312" s="4">
        <v>10.584638241586953</v>
      </c>
      <c r="G312" s="4">
        <v>68486</v>
      </c>
      <c r="H312" s="4">
        <v>5649593</v>
      </c>
      <c r="I312" s="4">
        <v>31825</v>
      </c>
      <c r="J312" s="141"/>
      <c r="K312" s="105"/>
      <c r="L312" s="105">
        <f>GETPIVOTDATA("Duracion",$A$3)/GETPIVOTDATA("NI",$A$3)</f>
        <v>303.0353982300885</v>
      </c>
      <c r="M312" s="105"/>
      <c r="N312">
        <v>533754</v>
      </c>
    </row>
  </sheetData>
  <mergeCells count="1">
    <mergeCell ref="A2:M2"/>
  </mergeCell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N246"/>
  <sheetViews>
    <sheetView topLeftCell="AF1" workbookViewId="0">
      <selection activeCell="AP2" sqref="AP2"/>
    </sheetView>
  </sheetViews>
  <sheetFormatPr baseColWidth="10" defaultRowHeight="15" x14ac:dyDescent="0.25"/>
  <cols>
    <col min="27" max="27" width="19.140625" bestFit="1" customWidth="1"/>
    <col min="29" max="29" width="19.140625" bestFit="1" customWidth="1"/>
    <col min="30" max="30" width="17" bestFit="1" customWidth="1"/>
    <col min="31" max="31" width="18.140625" bestFit="1" customWidth="1"/>
    <col min="32" max="32" width="14" bestFit="1" customWidth="1"/>
    <col min="33" max="33" width="17.42578125" bestFit="1" customWidth="1"/>
    <col min="39" max="39" width="21.5703125" customWidth="1"/>
  </cols>
  <sheetData>
    <row r="2" spans="1:40" x14ac:dyDescent="0.25">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55"/>
    </row>
    <row r="3" spans="1:40" x14ac:dyDescent="0.25">
      <c r="A3" s="20" t="s">
        <v>7</v>
      </c>
      <c r="B3" s="21" t="s">
        <v>8</v>
      </c>
      <c r="C3" s="20" t="s">
        <v>9</v>
      </c>
      <c r="D3" s="21" t="s">
        <v>322</v>
      </c>
      <c r="E3" s="20">
        <v>2018</v>
      </c>
      <c r="F3" s="20">
        <v>1</v>
      </c>
      <c r="G3" s="20" t="s">
        <v>323</v>
      </c>
      <c r="H3" s="20" t="s">
        <v>10</v>
      </c>
      <c r="I3" s="20" t="s">
        <v>324</v>
      </c>
      <c r="J3" s="20">
        <v>4030</v>
      </c>
      <c r="K3" s="20" t="s">
        <v>325</v>
      </c>
      <c r="L3" s="20" t="s">
        <v>325</v>
      </c>
      <c r="M3" s="22">
        <v>0.35902777777777778</v>
      </c>
      <c r="N3" s="22">
        <v>0.42291666666666666</v>
      </c>
      <c r="O3" s="20">
        <v>73</v>
      </c>
      <c r="P3" s="20">
        <v>183</v>
      </c>
      <c r="Q3" s="20" t="s">
        <v>326</v>
      </c>
      <c r="R3" s="20">
        <v>100</v>
      </c>
      <c r="S3" s="20" t="s">
        <v>11</v>
      </c>
      <c r="T3" s="20" t="s">
        <v>19</v>
      </c>
      <c r="U3" s="20" t="s">
        <v>13</v>
      </c>
      <c r="V3" s="20" t="s">
        <v>14</v>
      </c>
      <c r="W3" s="20" t="s">
        <v>15</v>
      </c>
      <c r="X3" s="20">
        <v>16836</v>
      </c>
      <c r="Y3" s="20">
        <v>92</v>
      </c>
      <c r="Z3" s="20">
        <v>3.1645E-2</v>
      </c>
      <c r="AA3" s="20">
        <v>533754</v>
      </c>
      <c r="AB3" s="20">
        <v>3.1542620757877227E-2</v>
      </c>
      <c r="AC3" s="20">
        <v>0.112</v>
      </c>
      <c r="AD3" s="20" t="s">
        <v>16</v>
      </c>
      <c r="AE3" s="20" t="s">
        <v>17</v>
      </c>
      <c r="AF3" s="20">
        <v>0</v>
      </c>
      <c r="AG3" s="20" t="s">
        <v>326</v>
      </c>
      <c r="AH3" s="20" t="s">
        <v>327</v>
      </c>
      <c r="AI3" s="20" t="s">
        <v>15</v>
      </c>
      <c r="AJ3" s="20">
        <v>-1</v>
      </c>
      <c r="AK3" s="20" t="s">
        <v>15</v>
      </c>
      <c r="AL3" s="20">
        <v>-1</v>
      </c>
      <c r="AM3" s="20" t="s">
        <v>18</v>
      </c>
      <c r="AN3">
        <v>1</v>
      </c>
    </row>
    <row r="4" spans="1:40" x14ac:dyDescent="0.25">
      <c r="A4" s="20" t="s">
        <v>7</v>
      </c>
      <c r="B4" s="21" t="s">
        <v>8</v>
      </c>
      <c r="C4" s="20" t="s">
        <v>9</v>
      </c>
      <c r="D4" s="21" t="s">
        <v>328</v>
      </c>
      <c r="E4" s="20">
        <v>2018</v>
      </c>
      <c r="F4" s="20">
        <v>1</v>
      </c>
      <c r="G4" s="20" t="s">
        <v>329</v>
      </c>
      <c r="H4" s="20" t="s">
        <v>10</v>
      </c>
      <c r="I4" s="20" t="s">
        <v>330</v>
      </c>
      <c r="J4" s="20">
        <v>4030</v>
      </c>
      <c r="K4" s="20" t="s">
        <v>331</v>
      </c>
      <c r="L4" s="20" t="s">
        <v>331</v>
      </c>
      <c r="M4" s="22">
        <v>0.3833333333333333</v>
      </c>
      <c r="N4" s="22">
        <v>0.61875000000000002</v>
      </c>
      <c r="O4" s="20">
        <v>56</v>
      </c>
      <c r="P4" s="20">
        <v>58</v>
      </c>
      <c r="Q4" s="20" t="s">
        <v>332</v>
      </c>
      <c r="R4" s="20">
        <v>100</v>
      </c>
      <c r="S4" s="20" t="s">
        <v>333</v>
      </c>
      <c r="T4" s="20" t="s">
        <v>19</v>
      </c>
      <c r="U4" s="20" t="s">
        <v>13</v>
      </c>
      <c r="V4" s="20" t="s">
        <v>14</v>
      </c>
      <c r="W4" s="20" t="s">
        <v>15</v>
      </c>
      <c r="X4" s="20">
        <v>19662</v>
      </c>
      <c r="Y4" s="20">
        <v>339</v>
      </c>
      <c r="Z4" s="20">
        <v>3.6956999999999997E-2</v>
      </c>
      <c r="AA4" s="20">
        <v>533754</v>
      </c>
      <c r="AB4" s="20">
        <v>3.6837194662709787E-2</v>
      </c>
      <c r="AC4" s="20">
        <v>0.316</v>
      </c>
      <c r="AD4" s="20" t="s">
        <v>16</v>
      </c>
      <c r="AE4" s="20" t="s">
        <v>17</v>
      </c>
      <c r="AF4" s="20">
        <v>0</v>
      </c>
      <c r="AG4" s="20" t="s">
        <v>332</v>
      </c>
      <c r="AH4" s="20" t="s">
        <v>334</v>
      </c>
      <c r="AI4" s="20" t="s">
        <v>15</v>
      </c>
      <c r="AJ4" s="20">
        <v>-1</v>
      </c>
      <c r="AK4" s="20" t="s">
        <v>15</v>
      </c>
      <c r="AL4" s="20">
        <v>-1</v>
      </c>
      <c r="AM4" s="20" t="s">
        <v>18</v>
      </c>
      <c r="AN4">
        <v>2</v>
      </c>
    </row>
    <row r="5" spans="1:40" x14ac:dyDescent="0.25">
      <c r="A5" s="20" t="s">
        <v>7</v>
      </c>
      <c r="B5" s="21" t="s">
        <v>8</v>
      </c>
      <c r="C5" s="20" t="s">
        <v>9</v>
      </c>
      <c r="D5" s="21" t="s">
        <v>335</v>
      </c>
      <c r="E5" s="20">
        <v>2018</v>
      </c>
      <c r="F5" s="20">
        <v>1</v>
      </c>
      <c r="G5" s="20" t="s">
        <v>329</v>
      </c>
      <c r="H5" s="20" t="s">
        <v>10</v>
      </c>
      <c r="I5" s="20" t="s">
        <v>336</v>
      </c>
      <c r="J5" s="20">
        <v>4015</v>
      </c>
      <c r="K5" s="20" t="s">
        <v>337</v>
      </c>
      <c r="L5" s="20" t="s">
        <v>337</v>
      </c>
      <c r="M5" s="22">
        <v>0.77777777777777779</v>
      </c>
      <c r="N5" s="22">
        <v>0.86736111111111114</v>
      </c>
      <c r="O5" s="20">
        <v>28</v>
      </c>
      <c r="P5" s="20">
        <v>115</v>
      </c>
      <c r="Q5" s="20" t="s">
        <v>338</v>
      </c>
      <c r="R5" s="20">
        <v>100</v>
      </c>
      <c r="S5" s="20" t="s">
        <v>11</v>
      </c>
      <c r="T5" s="20" t="s">
        <v>12</v>
      </c>
      <c r="U5" s="20" t="s">
        <v>13</v>
      </c>
      <c r="V5" s="20" t="s">
        <v>14</v>
      </c>
      <c r="W5" s="20" t="s">
        <v>15</v>
      </c>
      <c r="X5" s="20">
        <v>14835</v>
      </c>
      <c r="Y5" s="20">
        <v>129</v>
      </c>
      <c r="Z5" s="20">
        <v>2.7883999999999999E-2</v>
      </c>
      <c r="AA5" s="20">
        <v>533754</v>
      </c>
      <c r="AB5" s="20">
        <v>2.7793702716981981E-2</v>
      </c>
      <c r="AC5" s="20">
        <v>0.06</v>
      </c>
      <c r="AD5" s="20" t="s">
        <v>16</v>
      </c>
      <c r="AE5" s="20" t="s">
        <v>17</v>
      </c>
      <c r="AF5" s="20">
        <v>0</v>
      </c>
      <c r="AG5" s="20" t="s">
        <v>338</v>
      </c>
      <c r="AH5" s="20" t="s">
        <v>339</v>
      </c>
      <c r="AI5" s="20" t="s">
        <v>15</v>
      </c>
      <c r="AJ5" s="20">
        <v>-1</v>
      </c>
      <c r="AK5" s="20" t="s">
        <v>15</v>
      </c>
      <c r="AL5" s="20">
        <v>-1</v>
      </c>
      <c r="AM5" s="20" t="s">
        <v>340</v>
      </c>
      <c r="AN5">
        <v>3</v>
      </c>
    </row>
    <row r="6" spans="1:40" x14ac:dyDescent="0.25">
      <c r="A6" s="20" t="s">
        <v>7</v>
      </c>
      <c r="B6" s="21" t="s">
        <v>8</v>
      </c>
      <c r="C6" s="20" t="s">
        <v>9</v>
      </c>
      <c r="D6" s="21" t="s">
        <v>341</v>
      </c>
      <c r="E6" s="20">
        <v>2018</v>
      </c>
      <c r="F6" s="20">
        <v>1</v>
      </c>
      <c r="G6" s="20" t="s">
        <v>342</v>
      </c>
      <c r="H6" s="20" t="s">
        <v>342</v>
      </c>
      <c r="I6" s="20" t="s">
        <v>343</v>
      </c>
      <c r="J6" s="20">
        <v>4020</v>
      </c>
      <c r="K6" s="20" t="s">
        <v>337</v>
      </c>
      <c r="L6" s="20" t="s">
        <v>337</v>
      </c>
      <c r="M6" s="22">
        <v>0.6020833333333333</v>
      </c>
      <c r="N6" s="22">
        <v>0.7680555555555556</v>
      </c>
      <c r="O6" s="20">
        <v>125</v>
      </c>
      <c r="P6" s="20">
        <v>150</v>
      </c>
      <c r="Q6" s="20" t="s">
        <v>344</v>
      </c>
      <c r="R6" s="20">
        <v>0</v>
      </c>
      <c r="S6" s="20" t="s">
        <v>11</v>
      </c>
      <c r="T6" s="20" t="s">
        <v>12</v>
      </c>
      <c r="U6" s="20" t="s">
        <v>13</v>
      </c>
      <c r="V6" s="20" t="s">
        <v>14</v>
      </c>
      <c r="W6" s="20" t="s">
        <v>15</v>
      </c>
      <c r="X6" s="20">
        <v>35850</v>
      </c>
      <c r="Y6" s="20">
        <v>239</v>
      </c>
      <c r="Z6" s="20">
        <v>6.7383999999999999E-2</v>
      </c>
      <c r="AA6" s="20">
        <v>533754</v>
      </c>
      <c r="AB6" s="20">
        <v>6.7165772996548967E-2</v>
      </c>
      <c r="AC6" s="20">
        <v>0.498</v>
      </c>
      <c r="AD6" s="20" t="s">
        <v>16</v>
      </c>
      <c r="AE6" s="20" t="s">
        <v>17</v>
      </c>
      <c r="AF6" s="20"/>
      <c r="AG6" s="20" t="s">
        <v>344</v>
      </c>
      <c r="AH6" s="20" t="s">
        <v>345</v>
      </c>
      <c r="AI6" s="20" t="s">
        <v>15</v>
      </c>
      <c r="AJ6" s="20">
        <v>-1</v>
      </c>
      <c r="AK6" s="20" t="s">
        <v>15</v>
      </c>
      <c r="AL6" s="20">
        <v>-1</v>
      </c>
      <c r="AM6" s="20" t="s">
        <v>346</v>
      </c>
      <c r="AN6">
        <v>4</v>
      </c>
    </row>
    <row r="7" spans="1:40" x14ac:dyDescent="0.25">
      <c r="A7" s="20" t="s">
        <v>7</v>
      </c>
      <c r="B7" s="21" t="s">
        <v>8</v>
      </c>
      <c r="C7" s="20" t="s">
        <v>9</v>
      </c>
      <c r="D7" s="21" t="s">
        <v>347</v>
      </c>
      <c r="E7" s="20">
        <v>2018</v>
      </c>
      <c r="F7" s="20">
        <v>1</v>
      </c>
      <c r="G7" s="20" t="s">
        <v>323</v>
      </c>
      <c r="H7" s="20" t="s">
        <v>10</v>
      </c>
      <c r="I7" s="20" t="s">
        <v>324</v>
      </c>
      <c r="J7" s="20">
        <v>4030</v>
      </c>
      <c r="K7" s="20" t="s">
        <v>348</v>
      </c>
      <c r="L7" s="20" t="s">
        <v>348</v>
      </c>
      <c r="M7" s="22">
        <v>0.61944444444444446</v>
      </c>
      <c r="N7" s="22">
        <v>0.91666666666666663</v>
      </c>
      <c r="O7" s="20">
        <v>98</v>
      </c>
      <c r="P7" s="20">
        <v>162</v>
      </c>
      <c r="Q7" s="20" t="s">
        <v>349</v>
      </c>
      <c r="R7" s="20">
        <v>100</v>
      </c>
      <c r="S7" s="20" t="s">
        <v>11</v>
      </c>
      <c r="T7" s="20" t="s">
        <v>12</v>
      </c>
      <c r="U7" s="20" t="s">
        <v>13</v>
      </c>
      <c r="V7" s="20" t="s">
        <v>14</v>
      </c>
      <c r="W7" s="20" t="s">
        <v>15</v>
      </c>
      <c r="X7" s="20">
        <v>69336</v>
      </c>
      <c r="Y7" s="20">
        <v>428</v>
      </c>
      <c r="Z7" s="20">
        <v>0.130325</v>
      </c>
      <c r="AA7" s="20">
        <v>533754</v>
      </c>
      <c r="AB7" s="20">
        <v>0.12990253937207027</v>
      </c>
      <c r="AC7" s="20">
        <v>0.69899999999999995</v>
      </c>
      <c r="AD7" s="20" t="s">
        <v>16</v>
      </c>
      <c r="AE7" s="20" t="s">
        <v>17</v>
      </c>
      <c r="AF7" s="20">
        <v>0</v>
      </c>
      <c r="AG7" s="20" t="s">
        <v>349</v>
      </c>
      <c r="AH7" s="20" t="s">
        <v>45</v>
      </c>
      <c r="AI7" s="20" t="s">
        <v>15</v>
      </c>
      <c r="AJ7" s="20">
        <v>-1</v>
      </c>
      <c r="AK7" s="20" t="s">
        <v>15</v>
      </c>
      <c r="AL7" s="20">
        <v>-1</v>
      </c>
      <c r="AM7" s="20" t="s">
        <v>350</v>
      </c>
      <c r="AN7">
        <v>5</v>
      </c>
    </row>
    <row r="8" spans="1:40" x14ac:dyDescent="0.25">
      <c r="A8" s="20" t="s">
        <v>7</v>
      </c>
      <c r="B8" s="21" t="s">
        <v>8</v>
      </c>
      <c r="C8" s="20" t="s">
        <v>9</v>
      </c>
      <c r="D8" s="21" t="s">
        <v>351</v>
      </c>
      <c r="E8" s="20">
        <v>2018</v>
      </c>
      <c r="F8" s="20">
        <v>1</v>
      </c>
      <c r="G8" s="20" t="s">
        <v>329</v>
      </c>
      <c r="H8" s="20" t="s">
        <v>10</v>
      </c>
      <c r="I8" s="20" t="s">
        <v>352</v>
      </c>
      <c r="J8" s="20">
        <v>4010</v>
      </c>
      <c r="K8" s="20" t="s">
        <v>353</v>
      </c>
      <c r="L8" s="20" t="s">
        <v>353</v>
      </c>
      <c r="M8" s="22">
        <v>0.55833333333333335</v>
      </c>
      <c r="N8" s="22">
        <v>0.63055555555555554</v>
      </c>
      <c r="O8" s="20">
        <v>49</v>
      </c>
      <c r="P8" s="20">
        <v>66</v>
      </c>
      <c r="Q8" s="20" t="s">
        <v>354</v>
      </c>
      <c r="R8" s="20">
        <v>100</v>
      </c>
      <c r="S8" s="20" t="s">
        <v>11</v>
      </c>
      <c r="T8" s="20" t="s">
        <v>12</v>
      </c>
      <c r="U8" s="20" t="s">
        <v>13</v>
      </c>
      <c r="V8" s="20" t="s">
        <v>14</v>
      </c>
      <c r="W8" s="20" t="s">
        <v>15</v>
      </c>
      <c r="X8" s="20">
        <v>6864</v>
      </c>
      <c r="Y8" s="20">
        <v>104</v>
      </c>
      <c r="Z8" s="20">
        <v>1.2902E-2</v>
      </c>
      <c r="AA8" s="20">
        <v>533754</v>
      </c>
      <c r="AB8" s="20">
        <v>1.2859856787958498E-2</v>
      </c>
      <c r="AC8" s="20">
        <v>8.5000000000000006E-2</v>
      </c>
      <c r="AD8" s="20" t="s">
        <v>16</v>
      </c>
      <c r="AE8" s="20" t="s">
        <v>17</v>
      </c>
      <c r="AF8" s="20">
        <v>0</v>
      </c>
      <c r="AG8" s="20" t="s">
        <v>354</v>
      </c>
      <c r="AH8" s="20" t="s">
        <v>339</v>
      </c>
      <c r="AI8" s="20" t="s">
        <v>15</v>
      </c>
      <c r="AJ8" s="20">
        <v>-1</v>
      </c>
      <c r="AK8" s="20" t="s">
        <v>15</v>
      </c>
      <c r="AL8" s="20">
        <v>-1</v>
      </c>
      <c r="AM8" s="20" t="s">
        <v>355</v>
      </c>
      <c r="AN8">
        <v>6</v>
      </c>
    </row>
    <row r="9" spans="1:40" x14ac:dyDescent="0.25">
      <c r="A9" s="20" t="s">
        <v>7</v>
      </c>
      <c r="B9" s="21" t="s">
        <v>8</v>
      </c>
      <c r="C9" s="20" t="s">
        <v>9</v>
      </c>
      <c r="D9" s="21" t="s">
        <v>356</v>
      </c>
      <c r="E9" s="20">
        <v>2018</v>
      </c>
      <c r="F9" s="20">
        <v>1</v>
      </c>
      <c r="G9" s="20" t="s">
        <v>323</v>
      </c>
      <c r="H9" s="20" t="s">
        <v>10</v>
      </c>
      <c r="I9" s="20" t="s">
        <v>324</v>
      </c>
      <c r="J9" s="20">
        <v>4010</v>
      </c>
      <c r="K9" s="20" t="s">
        <v>357</v>
      </c>
      <c r="L9" s="20" t="s">
        <v>357</v>
      </c>
      <c r="M9" s="22">
        <v>0.79652777777777783</v>
      </c>
      <c r="N9" s="22">
        <v>0.84236111111111101</v>
      </c>
      <c r="O9" s="20">
        <v>49</v>
      </c>
      <c r="P9" s="20">
        <v>185</v>
      </c>
      <c r="Q9" s="20" t="s">
        <v>358</v>
      </c>
      <c r="R9" s="20">
        <v>100</v>
      </c>
      <c r="S9" s="20" t="s">
        <v>11</v>
      </c>
      <c r="T9" s="20" t="s">
        <v>12</v>
      </c>
      <c r="U9" s="20" t="s">
        <v>13</v>
      </c>
      <c r="V9" s="20" t="s">
        <v>14</v>
      </c>
      <c r="W9" s="20" t="s">
        <v>15</v>
      </c>
      <c r="X9" s="20">
        <v>12210</v>
      </c>
      <c r="Y9" s="20">
        <v>66</v>
      </c>
      <c r="Z9" s="20">
        <v>2.2950000000000002E-2</v>
      </c>
      <c r="AA9" s="20">
        <v>533754</v>
      </c>
      <c r="AB9" s="20">
        <v>2.2875706786272328E-2</v>
      </c>
      <c r="AC9" s="20">
        <v>5.3999999999999999E-2</v>
      </c>
      <c r="AD9" s="20" t="s">
        <v>16</v>
      </c>
      <c r="AE9" s="20" t="s">
        <v>17</v>
      </c>
      <c r="AF9" s="20">
        <v>0</v>
      </c>
      <c r="AG9" s="20" t="s">
        <v>358</v>
      </c>
      <c r="AH9" s="20" t="s">
        <v>46</v>
      </c>
      <c r="AI9" s="20" t="s">
        <v>15</v>
      </c>
      <c r="AJ9" s="20">
        <v>-1</v>
      </c>
      <c r="AK9" s="20" t="s">
        <v>15</v>
      </c>
      <c r="AL9" s="20">
        <v>-1</v>
      </c>
      <c r="AM9" s="20" t="s">
        <v>359</v>
      </c>
      <c r="AN9">
        <v>7</v>
      </c>
    </row>
    <row r="10" spans="1:40" x14ac:dyDescent="0.25">
      <c r="A10" s="20" t="s">
        <v>7</v>
      </c>
      <c r="B10" s="21" t="s">
        <v>8</v>
      </c>
      <c r="C10" s="20" t="s">
        <v>9</v>
      </c>
      <c r="D10" s="21" t="s">
        <v>360</v>
      </c>
      <c r="E10" s="20">
        <v>2018</v>
      </c>
      <c r="F10" s="20">
        <v>1</v>
      </c>
      <c r="G10" s="20" t="s">
        <v>342</v>
      </c>
      <c r="H10" s="20" t="s">
        <v>342</v>
      </c>
      <c r="I10" s="20" t="s">
        <v>361</v>
      </c>
      <c r="J10" s="20">
        <v>4040</v>
      </c>
      <c r="K10" s="20" t="s">
        <v>47</v>
      </c>
      <c r="L10" s="20" t="s">
        <v>47</v>
      </c>
      <c r="M10" s="22">
        <v>0.34861111111111115</v>
      </c>
      <c r="N10" s="22">
        <v>0.39652777777777781</v>
      </c>
      <c r="O10" s="20">
        <v>396</v>
      </c>
      <c r="P10" s="20">
        <v>148</v>
      </c>
      <c r="Q10" s="20" t="s">
        <v>362</v>
      </c>
      <c r="R10" s="20">
        <v>0</v>
      </c>
      <c r="S10" s="20" t="s">
        <v>11</v>
      </c>
      <c r="T10" s="20" t="s">
        <v>12</v>
      </c>
      <c r="U10" s="20" t="s">
        <v>13</v>
      </c>
      <c r="V10" s="20" t="s">
        <v>14</v>
      </c>
      <c r="W10" s="20" t="s">
        <v>15</v>
      </c>
      <c r="X10" s="20">
        <v>10212</v>
      </c>
      <c r="Y10" s="20">
        <v>69</v>
      </c>
      <c r="Z10" s="20">
        <v>1.9195E-2</v>
      </c>
      <c r="AA10" s="20">
        <v>533754</v>
      </c>
      <c r="AB10" s="20">
        <v>1.9132409312155037E-2</v>
      </c>
      <c r="AC10" s="20">
        <v>0.45500000000000002</v>
      </c>
      <c r="AD10" s="20" t="s">
        <v>16</v>
      </c>
      <c r="AE10" s="20" t="s">
        <v>17</v>
      </c>
      <c r="AF10" s="20"/>
      <c r="AG10" s="20" t="s">
        <v>362</v>
      </c>
      <c r="AH10" s="20" t="s">
        <v>363</v>
      </c>
      <c r="AI10" s="20" t="s">
        <v>15</v>
      </c>
      <c r="AJ10" s="20">
        <v>-1</v>
      </c>
      <c r="AK10" s="20" t="s">
        <v>15</v>
      </c>
      <c r="AL10" s="20">
        <v>-1</v>
      </c>
      <c r="AM10" s="20" t="s">
        <v>364</v>
      </c>
      <c r="AN10">
        <v>8</v>
      </c>
    </row>
    <row r="11" spans="1:40" x14ac:dyDescent="0.25">
      <c r="A11" s="20" t="s">
        <v>7</v>
      </c>
      <c r="B11" s="21" t="s">
        <v>8</v>
      </c>
      <c r="C11" s="20" t="s">
        <v>9</v>
      </c>
      <c r="D11" s="21" t="s">
        <v>365</v>
      </c>
      <c r="E11" s="20">
        <v>2018</v>
      </c>
      <c r="F11" s="20">
        <v>1</v>
      </c>
      <c r="G11" s="20" t="s">
        <v>329</v>
      </c>
      <c r="H11" s="20" t="s">
        <v>10</v>
      </c>
      <c r="I11" s="20" t="s">
        <v>366</v>
      </c>
      <c r="J11" s="20">
        <v>4090</v>
      </c>
      <c r="K11" s="20" t="s">
        <v>47</v>
      </c>
      <c r="L11" s="20" t="s">
        <v>47</v>
      </c>
      <c r="M11" s="22">
        <v>0.44305555555555554</v>
      </c>
      <c r="N11" s="22">
        <v>0.92986111111111114</v>
      </c>
      <c r="O11" s="20">
        <v>59</v>
      </c>
      <c r="P11" s="20">
        <v>73</v>
      </c>
      <c r="Q11" s="20" t="s">
        <v>367</v>
      </c>
      <c r="R11" s="20">
        <v>100</v>
      </c>
      <c r="S11" s="20" t="s">
        <v>48</v>
      </c>
      <c r="T11" s="20" t="s">
        <v>19</v>
      </c>
      <c r="U11" s="20" t="s">
        <v>13</v>
      </c>
      <c r="V11" s="20" t="s">
        <v>14</v>
      </c>
      <c r="W11" s="20" t="s">
        <v>15</v>
      </c>
      <c r="X11" s="20">
        <v>51173</v>
      </c>
      <c r="Y11" s="20">
        <v>701</v>
      </c>
      <c r="Z11" s="20">
        <v>9.6185000000000007E-2</v>
      </c>
      <c r="AA11" s="20">
        <v>533754</v>
      </c>
      <c r="AB11" s="20">
        <v>9.5873754576078121E-2</v>
      </c>
      <c r="AC11" s="20">
        <v>0.68899999999999995</v>
      </c>
      <c r="AD11" s="20" t="s">
        <v>16</v>
      </c>
      <c r="AE11" s="20" t="s">
        <v>17</v>
      </c>
      <c r="AF11" s="20">
        <v>0</v>
      </c>
      <c r="AG11" s="20" t="s">
        <v>367</v>
      </c>
      <c r="AH11" s="20" t="s">
        <v>339</v>
      </c>
      <c r="AI11" s="20" t="s">
        <v>15</v>
      </c>
      <c r="AJ11" s="20">
        <v>-1</v>
      </c>
      <c r="AK11" s="20" t="s">
        <v>15</v>
      </c>
      <c r="AL11" s="20">
        <v>-1</v>
      </c>
      <c r="AM11" s="20" t="s">
        <v>368</v>
      </c>
      <c r="AN11">
        <v>9</v>
      </c>
    </row>
    <row r="12" spans="1:40" x14ac:dyDescent="0.25">
      <c r="A12" s="20" t="s">
        <v>7</v>
      </c>
      <c r="B12" s="21" t="s">
        <v>8</v>
      </c>
      <c r="C12" s="20" t="s">
        <v>9</v>
      </c>
      <c r="D12" s="21" t="s">
        <v>186</v>
      </c>
      <c r="E12" s="20">
        <v>2018</v>
      </c>
      <c r="F12" s="20">
        <v>1</v>
      </c>
      <c r="G12" s="20" t="s">
        <v>9</v>
      </c>
      <c r="H12" s="20" t="s">
        <v>10</v>
      </c>
      <c r="I12" s="20" t="s">
        <v>187</v>
      </c>
      <c r="J12" s="20">
        <v>4012</v>
      </c>
      <c r="K12" s="20" t="s">
        <v>47</v>
      </c>
      <c r="L12" s="20" t="s">
        <v>47</v>
      </c>
      <c r="M12" s="22">
        <v>0.80555555555555547</v>
      </c>
      <c r="N12" s="22">
        <v>0.81805555555555554</v>
      </c>
      <c r="O12" s="20">
        <v>1852</v>
      </c>
      <c r="P12" s="20">
        <v>5829</v>
      </c>
      <c r="Q12" s="20" t="s">
        <v>20</v>
      </c>
      <c r="R12" s="20">
        <v>100</v>
      </c>
      <c r="S12" s="20" t="s">
        <v>11</v>
      </c>
      <c r="T12" s="20" t="s">
        <v>19</v>
      </c>
      <c r="U12" s="20" t="s">
        <v>13</v>
      </c>
      <c r="V12" s="20" t="s">
        <v>14</v>
      </c>
      <c r="W12" s="20"/>
      <c r="X12" s="20">
        <v>104922</v>
      </c>
      <c r="Y12" s="20">
        <v>18</v>
      </c>
      <c r="Z12" s="20">
        <v>0.197213</v>
      </c>
      <c r="AA12" s="20">
        <v>533754</v>
      </c>
      <c r="AB12" s="20">
        <v>0.1965737024921593</v>
      </c>
      <c r="AC12" s="20">
        <v>0.55600000000000005</v>
      </c>
      <c r="AD12" s="20" t="s">
        <v>16</v>
      </c>
      <c r="AE12" s="20" t="s">
        <v>21</v>
      </c>
      <c r="AF12" s="20" t="s">
        <v>37</v>
      </c>
      <c r="AG12" s="20">
        <v>0</v>
      </c>
      <c r="AH12" s="20" t="s">
        <v>188</v>
      </c>
      <c r="AI12" s="20" t="s">
        <v>15</v>
      </c>
      <c r="AJ12" s="20">
        <v>-1</v>
      </c>
      <c r="AK12" s="20" t="s">
        <v>15</v>
      </c>
      <c r="AL12" s="20">
        <v>-1</v>
      </c>
      <c r="AM12" s="20" t="s">
        <v>18</v>
      </c>
      <c r="AN12">
        <v>10</v>
      </c>
    </row>
    <row r="13" spans="1:40" x14ac:dyDescent="0.25">
      <c r="A13" s="20" t="s">
        <v>7</v>
      </c>
      <c r="B13" s="21" t="s">
        <v>8</v>
      </c>
      <c r="C13" s="20" t="s">
        <v>9</v>
      </c>
      <c r="D13" s="21" t="s">
        <v>189</v>
      </c>
      <c r="E13" s="20">
        <v>2018</v>
      </c>
      <c r="F13" s="20">
        <v>1</v>
      </c>
      <c r="G13" s="20" t="s">
        <v>9</v>
      </c>
      <c r="H13" s="20" t="s">
        <v>10</v>
      </c>
      <c r="I13" s="20" t="s">
        <v>187</v>
      </c>
      <c r="J13" s="20">
        <v>4012</v>
      </c>
      <c r="K13" s="20" t="s">
        <v>47</v>
      </c>
      <c r="L13" s="20" t="s">
        <v>47</v>
      </c>
      <c r="M13" s="22">
        <v>0.54166666666666663</v>
      </c>
      <c r="N13" s="22">
        <v>0.80555555555555547</v>
      </c>
      <c r="O13" s="20">
        <v>125</v>
      </c>
      <c r="P13" s="20">
        <v>760</v>
      </c>
      <c r="Q13" s="20" t="s">
        <v>190</v>
      </c>
      <c r="R13" s="20">
        <v>100</v>
      </c>
      <c r="S13" s="20" t="s">
        <v>11</v>
      </c>
      <c r="T13" s="20" t="s">
        <v>19</v>
      </c>
      <c r="U13" s="20" t="s">
        <v>13</v>
      </c>
      <c r="V13" s="20" t="s">
        <v>14</v>
      </c>
      <c r="W13" s="20"/>
      <c r="X13" s="20">
        <v>288800</v>
      </c>
      <c r="Y13" s="20">
        <v>380</v>
      </c>
      <c r="Z13" s="20">
        <v>0.54283199999999998</v>
      </c>
      <c r="AA13" s="20">
        <v>533754</v>
      </c>
      <c r="AB13" s="20">
        <v>0.54107322849102768</v>
      </c>
      <c r="AC13" s="20">
        <v>0.79200000000000004</v>
      </c>
      <c r="AD13" s="20" t="s">
        <v>16</v>
      </c>
      <c r="AE13" s="20" t="s">
        <v>17</v>
      </c>
      <c r="AF13" s="20">
        <v>0</v>
      </c>
      <c r="AG13" s="20" t="s">
        <v>190</v>
      </c>
      <c r="AH13" s="20" t="s">
        <v>188</v>
      </c>
      <c r="AI13" s="20" t="s">
        <v>15</v>
      </c>
      <c r="AJ13" s="20">
        <v>-1</v>
      </c>
      <c r="AK13" s="20" t="s">
        <v>15</v>
      </c>
      <c r="AL13" s="20">
        <v>-1</v>
      </c>
      <c r="AM13" s="20" t="s">
        <v>18</v>
      </c>
      <c r="AN13">
        <v>11</v>
      </c>
    </row>
    <row r="14" spans="1:40" x14ac:dyDescent="0.25">
      <c r="A14" s="20" t="s">
        <v>7</v>
      </c>
      <c r="B14" s="21" t="s">
        <v>8</v>
      </c>
      <c r="C14" s="20" t="s">
        <v>9</v>
      </c>
      <c r="D14" s="21" t="s">
        <v>191</v>
      </c>
      <c r="E14" s="20">
        <v>2018</v>
      </c>
      <c r="F14" s="20">
        <v>1</v>
      </c>
      <c r="G14" s="20" t="s">
        <v>9</v>
      </c>
      <c r="H14" s="20" t="s">
        <v>10</v>
      </c>
      <c r="I14" s="20" t="s">
        <v>187</v>
      </c>
      <c r="J14" s="20">
        <v>4012</v>
      </c>
      <c r="K14" s="20" t="s">
        <v>47</v>
      </c>
      <c r="L14" s="20" t="s">
        <v>192</v>
      </c>
      <c r="M14" s="22">
        <v>0.81805555555555554</v>
      </c>
      <c r="N14" s="22">
        <v>0.66666666666666663</v>
      </c>
      <c r="O14" s="20">
        <v>125</v>
      </c>
      <c r="P14" s="20">
        <v>760</v>
      </c>
      <c r="Q14" s="20" t="s">
        <v>190</v>
      </c>
      <c r="R14" s="20">
        <v>100</v>
      </c>
      <c r="S14" s="20" t="s">
        <v>11</v>
      </c>
      <c r="T14" s="20" t="s">
        <v>19</v>
      </c>
      <c r="U14" s="20" t="s">
        <v>13</v>
      </c>
      <c r="V14" s="20" t="s">
        <v>14</v>
      </c>
      <c r="W14" s="20" t="s">
        <v>15</v>
      </c>
      <c r="X14" s="20">
        <v>928720</v>
      </c>
      <c r="Y14" s="20">
        <v>1222</v>
      </c>
      <c r="Z14" s="20">
        <v>1.7456320000000001</v>
      </c>
      <c r="AA14" s="20">
        <v>533754</v>
      </c>
      <c r="AB14" s="20">
        <v>1.7399775926737786</v>
      </c>
      <c r="AC14" s="20">
        <v>2.5459999999999998</v>
      </c>
      <c r="AD14" s="20" t="s">
        <v>16</v>
      </c>
      <c r="AE14" s="20" t="s">
        <v>17</v>
      </c>
      <c r="AF14" s="20">
        <v>0</v>
      </c>
      <c r="AG14" s="20" t="s">
        <v>190</v>
      </c>
      <c r="AH14" s="20" t="s">
        <v>188</v>
      </c>
      <c r="AI14" s="20" t="s">
        <v>15</v>
      </c>
      <c r="AJ14" s="20">
        <v>-1</v>
      </c>
      <c r="AK14" s="20" t="s">
        <v>15</v>
      </c>
      <c r="AL14" s="20">
        <v>-1</v>
      </c>
      <c r="AM14" s="20" t="s">
        <v>18</v>
      </c>
      <c r="AN14">
        <v>12</v>
      </c>
    </row>
    <row r="15" spans="1:40" x14ac:dyDescent="0.25">
      <c r="A15" s="20" t="s">
        <v>7</v>
      </c>
      <c r="B15" s="21" t="s">
        <v>8</v>
      </c>
      <c r="C15" s="20" t="s">
        <v>9</v>
      </c>
      <c r="D15" s="21" t="s">
        <v>193</v>
      </c>
      <c r="E15" s="20">
        <v>2018</v>
      </c>
      <c r="F15" s="20">
        <v>1</v>
      </c>
      <c r="G15" s="20" t="s">
        <v>9</v>
      </c>
      <c r="H15" s="20" t="s">
        <v>10</v>
      </c>
      <c r="I15" s="20" t="s">
        <v>187</v>
      </c>
      <c r="J15" s="20">
        <v>4012</v>
      </c>
      <c r="K15" s="20" t="s">
        <v>194</v>
      </c>
      <c r="L15" s="20" t="s">
        <v>194</v>
      </c>
      <c r="M15" s="22">
        <v>0.53680555555555554</v>
      </c>
      <c r="N15" s="22">
        <v>0.66805555555555562</v>
      </c>
      <c r="O15" s="20">
        <v>75</v>
      </c>
      <c r="P15" s="20">
        <v>464</v>
      </c>
      <c r="Q15" s="20" t="s">
        <v>195</v>
      </c>
      <c r="R15" s="20">
        <v>100</v>
      </c>
      <c r="S15" s="20" t="s">
        <v>11</v>
      </c>
      <c r="T15" s="20" t="s">
        <v>196</v>
      </c>
      <c r="U15" s="20" t="s">
        <v>13</v>
      </c>
      <c r="V15" s="20" t="s">
        <v>14</v>
      </c>
      <c r="W15" s="20" t="s">
        <v>15</v>
      </c>
      <c r="X15" s="20">
        <v>87696</v>
      </c>
      <c r="Y15" s="20">
        <v>189</v>
      </c>
      <c r="Z15" s="20">
        <v>0.16483400000000001</v>
      </c>
      <c r="AA15" s="20">
        <v>533754</v>
      </c>
      <c r="AB15" s="20">
        <v>0.16430040805314808</v>
      </c>
      <c r="AC15" s="20">
        <v>0.23599999999999999</v>
      </c>
      <c r="AD15" s="20" t="s">
        <v>16</v>
      </c>
      <c r="AE15" s="20" t="s">
        <v>17</v>
      </c>
      <c r="AF15" s="20">
        <v>0</v>
      </c>
      <c r="AG15" s="20" t="s">
        <v>195</v>
      </c>
      <c r="AH15" s="20" t="s">
        <v>197</v>
      </c>
      <c r="AI15" s="20" t="s">
        <v>15</v>
      </c>
      <c r="AJ15" s="20">
        <v>1513</v>
      </c>
      <c r="AK15" s="20" t="s">
        <v>15</v>
      </c>
      <c r="AL15" s="20">
        <v>-1</v>
      </c>
      <c r="AM15" s="20" t="s">
        <v>18</v>
      </c>
      <c r="AN15">
        <v>13</v>
      </c>
    </row>
    <row r="16" spans="1:40" x14ac:dyDescent="0.25">
      <c r="A16" s="20" t="s">
        <v>7</v>
      </c>
      <c r="B16" s="21" t="s">
        <v>8</v>
      </c>
      <c r="C16" s="20" t="s">
        <v>9</v>
      </c>
      <c r="D16" s="21" t="s">
        <v>369</v>
      </c>
      <c r="E16" s="20">
        <v>2018</v>
      </c>
      <c r="F16" s="20">
        <v>1</v>
      </c>
      <c r="G16" s="20" t="s">
        <v>329</v>
      </c>
      <c r="H16" s="20" t="s">
        <v>10</v>
      </c>
      <c r="I16" s="20" t="s">
        <v>352</v>
      </c>
      <c r="J16" s="20">
        <v>4020</v>
      </c>
      <c r="K16" s="20" t="s">
        <v>370</v>
      </c>
      <c r="L16" s="20" t="s">
        <v>370</v>
      </c>
      <c r="M16" s="22">
        <v>0.42499999999999999</v>
      </c>
      <c r="N16" s="22">
        <v>0.49652777777777773</v>
      </c>
      <c r="O16" s="20">
        <v>89</v>
      </c>
      <c r="P16" s="20">
        <v>150</v>
      </c>
      <c r="Q16" s="20" t="s">
        <v>371</v>
      </c>
      <c r="R16" s="20">
        <v>100</v>
      </c>
      <c r="S16" s="20" t="s">
        <v>372</v>
      </c>
      <c r="T16" s="20" t="s">
        <v>373</v>
      </c>
      <c r="U16" s="20" t="s">
        <v>13</v>
      </c>
      <c r="V16" s="20" t="s">
        <v>14</v>
      </c>
      <c r="W16" s="20" t="s">
        <v>15</v>
      </c>
      <c r="X16" s="20">
        <v>15450</v>
      </c>
      <c r="Y16" s="20">
        <v>103</v>
      </c>
      <c r="Z16" s="20">
        <v>2.904E-2</v>
      </c>
      <c r="AA16" s="20">
        <v>533754</v>
      </c>
      <c r="AB16" s="20">
        <v>2.8945918906462528E-2</v>
      </c>
      <c r="AC16" s="20">
        <v>0.153</v>
      </c>
      <c r="AD16" s="20" t="s">
        <v>16</v>
      </c>
      <c r="AE16" s="20" t="s">
        <v>17</v>
      </c>
      <c r="AF16" s="20">
        <v>0</v>
      </c>
      <c r="AG16" s="20" t="s">
        <v>371</v>
      </c>
      <c r="AH16" s="20" t="s">
        <v>374</v>
      </c>
      <c r="AI16" s="20" t="s">
        <v>15</v>
      </c>
      <c r="AJ16" s="20">
        <v>-1</v>
      </c>
      <c r="AK16" s="20" t="s">
        <v>15</v>
      </c>
      <c r="AL16" s="20">
        <v>-1</v>
      </c>
      <c r="AM16" s="20" t="s">
        <v>18</v>
      </c>
      <c r="AN16">
        <v>14</v>
      </c>
    </row>
    <row r="17" spans="1:40" x14ac:dyDescent="0.25">
      <c r="A17" s="20" t="s">
        <v>7</v>
      </c>
      <c r="B17" s="21" t="s">
        <v>8</v>
      </c>
      <c r="C17" s="20" t="s">
        <v>9</v>
      </c>
      <c r="D17" s="21" t="s">
        <v>375</v>
      </c>
      <c r="E17" s="20">
        <v>2018</v>
      </c>
      <c r="F17" s="20">
        <v>1</v>
      </c>
      <c r="G17" s="20" t="s">
        <v>329</v>
      </c>
      <c r="H17" s="20" t="s">
        <v>10</v>
      </c>
      <c r="I17" s="20" t="s">
        <v>376</v>
      </c>
      <c r="J17" s="20">
        <v>4010</v>
      </c>
      <c r="K17" s="20" t="s">
        <v>370</v>
      </c>
      <c r="L17" s="20" t="s">
        <v>370</v>
      </c>
      <c r="M17" s="22">
        <v>0.50347222222222221</v>
      </c>
      <c r="N17" s="22">
        <v>0.75347222222222221</v>
      </c>
      <c r="O17" s="20">
        <v>55</v>
      </c>
      <c r="P17" s="20">
        <v>80</v>
      </c>
      <c r="Q17" s="20" t="s">
        <v>377</v>
      </c>
      <c r="R17" s="20">
        <v>100</v>
      </c>
      <c r="S17" s="20" t="s">
        <v>333</v>
      </c>
      <c r="T17" s="20" t="s">
        <v>19</v>
      </c>
      <c r="U17" s="20" t="s">
        <v>13</v>
      </c>
      <c r="V17" s="20" t="s">
        <v>14</v>
      </c>
      <c r="W17" s="20" t="s">
        <v>15</v>
      </c>
      <c r="X17" s="20">
        <v>28800</v>
      </c>
      <c r="Y17" s="20">
        <v>360</v>
      </c>
      <c r="Z17" s="20">
        <v>5.4133000000000001E-2</v>
      </c>
      <c r="AA17" s="20">
        <v>533754</v>
      </c>
      <c r="AB17" s="20">
        <v>5.3957441068357336E-2</v>
      </c>
      <c r="AC17" s="20">
        <v>0.33</v>
      </c>
      <c r="AD17" s="20" t="s">
        <v>16</v>
      </c>
      <c r="AE17" s="20" t="s">
        <v>17</v>
      </c>
      <c r="AF17" s="20">
        <v>0</v>
      </c>
      <c r="AG17" s="20" t="s">
        <v>377</v>
      </c>
      <c r="AH17" s="20" t="s">
        <v>378</v>
      </c>
      <c r="AI17" s="20" t="s">
        <v>15</v>
      </c>
      <c r="AJ17" s="20">
        <v>-1</v>
      </c>
      <c r="AK17" s="20" t="s">
        <v>15</v>
      </c>
      <c r="AL17" s="20">
        <v>-1</v>
      </c>
      <c r="AM17" s="20" t="s">
        <v>379</v>
      </c>
      <c r="AN17">
        <v>15</v>
      </c>
    </row>
    <row r="18" spans="1:40" x14ac:dyDescent="0.25">
      <c r="A18" s="20" t="s">
        <v>7</v>
      </c>
      <c r="B18" s="21" t="s">
        <v>8</v>
      </c>
      <c r="C18" s="20" t="s">
        <v>9</v>
      </c>
      <c r="D18" s="21" t="s">
        <v>380</v>
      </c>
      <c r="E18" s="20">
        <v>2018</v>
      </c>
      <c r="F18" s="20">
        <v>1</v>
      </c>
      <c r="G18" s="20" t="s">
        <v>323</v>
      </c>
      <c r="H18" s="20" t="s">
        <v>10</v>
      </c>
      <c r="I18" s="20" t="s">
        <v>381</v>
      </c>
      <c r="J18" s="20">
        <v>4010</v>
      </c>
      <c r="K18" s="20" t="s">
        <v>370</v>
      </c>
      <c r="L18" s="20" t="s">
        <v>370</v>
      </c>
      <c r="M18" s="22">
        <v>0.74583333333333324</v>
      </c>
      <c r="N18" s="22">
        <v>0.77777777777777779</v>
      </c>
      <c r="O18" s="20">
        <v>50</v>
      </c>
      <c r="P18" s="20">
        <v>30</v>
      </c>
      <c r="Q18" s="20" t="s">
        <v>382</v>
      </c>
      <c r="R18" s="20">
        <v>100</v>
      </c>
      <c r="S18" s="20" t="s">
        <v>11</v>
      </c>
      <c r="T18" s="20" t="s">
        <v>19</v>
      </c>
      <c r="U18" s="20" t="s">
        <v>13</v>
      </c>
      <c r="V18" s="20" t="s">
        <v>14</v>
      </c>
      <c r="W18" s="20" t="s">
        <v>15</v>
      </c>
      <c r="X18" s="20">
        <v>1380</v>
      </c>
      <c r="Y18" s="20">
        <v>46</v>
      </c>
      <c r="Z18" s="20">
        <v>2.594E-3</v>
      </c>
      <c r="AA18" s="20">
        <v>533754</v>
      </c>
      <c r="AB18" s="20">
        <v>2.5854607178587888E-3</v>
      </c>
      <c r="AC18" s="20">
        <v>3.7999999999999999E-2</v>
      </c>
      <c r="AD18" s="20" t="s">
        <v>16</v>
      </c>
      <c r="AE18" s="20" t="s">
        <v>17</v>
      </c>
      <c r="AF18" s="20">
        <v>0</v>
      </c>
      <c r="AG18" s="20" t="s">
        <v>382</v>
      </c>
      <c r="AH18" s="20" t="s">
        <v>45</v>
      </c>
      <c r="AI18" s="20" t="s">
        <v>15</v>
      </c>
      <c r="AJ18" s="20">
        <v>-1</v>
      </c>
      <c r="AK18" s="20" t="s">
        <v>15</v>
      </c>
      <c r="AL18" s="20">
        <v>-1</v>
      </c>
      <c r="AM18" s="20" t="s">
        <v>383</v>
      </c>
      <c r="AN18">
        <v>16</v>
      </c>
    </row>
    <row r="19" spans="1:40" x14ac:dyDescent="0.25">
      <c r="A19" s="20" t="s">
        <v>7</v>
      </c>
      <c r="B19" s="21" t="s">
        <v>8</v>
      </c>
      <c r="C19" s="20" t="s">
        <v>9</v>
      </c>
      <c r="D19" s="21" t="s">
        <v>384</v>
      </c>
      <c r="E19" s="20">
        <v>2018</v>
      </c>
      <c r="F19" s="20">
        <v>1</v>
      </c>
      <c r="G19" s="20" t="s">
        <v>342</v>
      </c>
      <c r="H19" s="20" t="s">
        <v>342</v>
      </c>
      <c r="I19" s="20" t="s">
        <v>361</v>
      </c>
      <c r="J19" s="20">
        <v>4060</v>
      </c>
      <c r="K19" s="20" t="s">
        <v>49</v>
      </c>
      <c r="L19" s="20" t="s">
        <v>49</v>
      </c>
      <c r="M19" s="22">
        <v>0.38541666666666669</v>
      </c>
      <c r="N19" s="22">
        <v>0.44861111111111113</v>
      </c>
      <c r="O19" s="20">
        <v>79</v>
      </c>
      <c r="P19" s="20">
        <v>93</v>
      </c>
      <c r="Q19" s="20" t="s">
        <v>385</v>
      </c>
      <c r="R19" s="20">
        <v>0</v>
      </c>
      <c r="S19" s="20" t="s">
        <v>11</v>
      </c>
      <c r="T19" s="20" t="s">
        <v>12</v>
      </c>
      <c r="U19" s="20" t="s">
        <v>13</v>
      </c>
      <c r="V19" s="20" t="s">
        <v>14</v>
      </c>
      <c r="W19" s="20" t="s">
        <v>15</v>
      </c>
      <c r="X19" s="20">
        <v>8463</v>
      </c>
      <c r="Y19" s="20">
        <v>91</v>
      </c>
      <c r="Z19" s="20">
        <v>1.5907000000000001E-2</v>
      </c>
      <c r="AA19" s="20">
        <v>533754</v>
      </c>
      <c r="AB19" s="20">
        <v>1.5855618880607922E-2</v>
      </c>
      <c r="AC19" s="20">
        <v>0.12</v>
      </c>
      <c r="AD19" s="20" t="s">
        <v>16</v>
      </c>
      <c r="AE19" s="20" t="s">
        <v>17</v>
      </c>
      <c r="AF19" s="20">
        <v>0</v>
      </c>
      <c r="AG19" s="20" t="s">
        <v>385</v>
      </c>
      <c r="AH19" s="20" t="s">
        <v>386</v>
      </c>
      <c r="AI19" s="20" t="s">
        <v>15</v>
      </c>
      <c r="AJ19" s="20">
        <v>-1</v>
      </c>
      <c r="AK19" s="20" t="s">
        <v>15</v>
      </c>
      <c r="AL19" s="20">
        <v>-1</v>
      </c>
      <c r="AM19" s="20" t="s">
        <v>387</v>
      </c>
      <c r="AN19">
        <v>17</v>
      </c>
    </row>
    <row r="20" spans="1:40" x14ac:dyDescent="0.25">
      <c r="A20" s="20" t="s">
        <v>7</v>
      </c>
      <c r="B20" s="21" t="s">
        <v>8</v>
      </c>
      <c r="C20" s="20" t="s">
        <v>9</v>
      </c>
      <c r="D20" s="21" t="s">
        <v>388</v>
      </c>
      <c r="E20" s="20">
        <v>2018</v>
      </c>
      <c r="F20" s="20">
        <v>1</v>
      </c>
      <c r="G20" s="20" t="s">
        <v>329</v>
      </c>
      <c r="H20" s="20" t="s">
        <v>10</v>
      </c>
      <c r="I20" s="20" t="s">
        <v>376</v>
      </c>
      <c r="J20" s="20">
        <v>4010</v>
      </c>
      <c r="K20" s="20" t="s">
        <v>49</v>
      </c>
      <c r="L20" s="20" t="s">
        <v>49</v>
      </c>
      <c r="M20" s="22">
        <v>0.17847222222222223</v>
      </c>
      <c r="N20" s="22">
        <v>0.60416666666666663</v>
      </c>
      <c r="O20" s="20">
        <v>15</v>
      </c>
      <c r="P20" s="20">
        <v>33</v>
      </c>
      <c r="Q20" s="20" t="s">
        <v>389</v>
      </c>
      <c r="R20" s="20">
        <v>100</v>
      </c>
      <c r="S20" s="20" t="s">
        <v>11</v>
      </c>
      <c r="T20" s="20" t="s">
        <v>19</v>
      </c>
      <c r="U20" s="20" t="s">
        <v>13</v>
      </c>
      <c r="V20" s="20" t="s">
        <v>14</v>
      </c>
      <c r="W20" s="20" t="s">
        <v>15</v>
      </c>
      <c r="X20" s="20">
        <v>20229</v>
      </c>
      <c r="Y20" s="20">
        <v>613</v>
      </c>
      <c r="Z20" s="20">
        <v>3.8023000000000001E-2</v>
      </c>
      <c r="AA20" s="20">
        <v>533754</v>
      </c>
      <c r="AB20" s="20">
        <v>3.7899481783743069E-2</v>
      </c>
      <c r="AC20" s="20">
        <v>0.153</v>
      </c>
      <c r="AD20" s="20" t="s">
        <v>16</v>
      </c>
      <c r="AE20" s="20" t="s">
        <v>17</v>
      </c>
      <c r="AF20" s="20">
        <v>0</v>
      </c>
      <c r="AG20" s="20" t="s">
        <v>389</v>
      </c>
      <c r="AH20" s="20" t="s">
        <v>390</v>
      </c>
      <c r="AI20" s="20" t="s">
        <v>15</v>
      </c>
      <c r="AJ20" s="20">
        <v>-1</v>
      </c>
      <c r="AK20" s="20" t="s">
        <v>15</v>
      </c>
      <c r="AL20" s="20">
        <v>-1</v>
      </c>
      <c r="AM20" s="20" t="s">
        <v>391</v>
      </c>
      <c r="AN20">
        <v>18</v>
      </c>
    </row>
    <row r="21" spans="1:40" x14ac:dyDescent="0.25">
      <c r="A21" s="20" t="s">
        <v>7</v>
      </c>
      <c r="B21" s="21" t="s">
        <v>8</v>
      </c>
      <c r="C21" s="20" t="s">
        <v>9</v>
      </c>
      <c r="D21" s="21" t="s">
        <v>198</v>
      </c>
      <c r="E21" s="20">
        <v>2018</v>
      </c>
      <c r="F21" s="20">
        <v>1</v>
      </c>
      <c r="G21" s="20" t="s">
        <v>9</v>
      </c>
      <c r="H21" s="20" t="s">
        <v>10</v>
      </c>
      <c r="I21" s="20" t="s">
        <v>199</v>
      </c>
      <c r="J21" s="20">
        <v>4015</v>
      </c>
      <c r="K21" s="20" t="s">
        <v>49</v>
      </c>
      <c r="L21" s="20" t="s">
        <v>49</v>
      </c>
      <c r="M21" s="22">
        <v>0.35555555555555557</v>
      </c>
      <c r="N21" s="22">
        <v>0.5625</v>
      </c>
      <c r="O21" s="20">
        <v>65</v>
      </c>
      <c r="P21" s="20">
        <v>88</v>
      </c>
      <c r="Q21" s="20" t="s">
        <v>200</v>
      </c>
      <c r="R21" s="20">
        <v>100</v>
      </c>
      <c r="S21" s="20" t="s">
        <v>11</v>
      </c>
      <c r="T21" s="20" t="s">
        <v>12</v>
      </c>
      <c r="U21" s="20" t="s">
        <v>13</v>
      </c>
      <c r="V21" s="20" t="s">
        <v>14</v>
      </c>
      <c r="W21" s="20" t="s">
        <v>15</v>
      </c>
      <c r="X21" s="20">
        <v>26224</v>
      </c>
      <c r="Y21" s="20">
        <v>298</v>
      </c>
      <c r="Z21" s="20">
        <v>4.9291000000000001E-2</v>
      </c>
      <c r="AA21" s="20">
        <v>533754</v>
      </c>
      <c r="AB21" s="20">
        <v>4.9131247728354262E-2</v>
      </c>
      <c r="AC21" s="20">
        <v>0.32300000000000001</v>
      </c>
      <c r="AD21" s="20" t="s">
        <v>16</v>
      </c>
      <c r="AE21" s="20" t="s">
        <v>17</v>
      </c>
      <c r="AF21" s="20">
        <v>0</v>
      </c>
      <c r="AG21" s="20" t="s">
        <v>200</v>
      </c>
      <c r="AH21" s="20" t="s">
        <v>201</v>
      </c>
      <c r="AI21" s="20" t="s">
        <v>15</v>
      </c>
      <c r="AJ21" s="20">
        <v>-1</v>
      </c>
      <c r="AK21" s="20" t="s">
        <v>15</v>
      </c>
      <c r="AL21" s="20">
        <v>-1</v>
      </c>
      <c r="AM21" s="20" t="s">
        <v>18</v>
      </c>
      <c r="AN21">
        <v>19</v>
      </c>
    </row>
    <row r="22" spans="1:40" x14ac:dyDescent="0.25">
      <c r="A22" s="20" t="s">
        <v>7</v>
      </c>
      <c r="B22" s="21" t="s">
        <v>8</v>
      </c>
      <c r="C22" s="20" t="s">
        <v>9</v>
      </c>
      <c r="D22" s="21" t="s">
        <v>392</v>
      </c>
      <c r="E22" s="20">
        <v>2018</v>
      </c>
      <c r="F22" s="20">
        <v>1</v>
      </c>
      <c r="G22" s="20" t="s">
        <v>342</v>
      </c>
      <c r="H22" s="20" t="s">
        <v>342</v>
      </c>
      <c r="I22" s="20" t="s">
        <v>393</v>
      </c>
      <c r="J22" s="20">
        <v>4040</v>
      </c>
      <c r="K22" s="20" t="s">
        <v>49</v>
      </c>
      <c r="L22" s="20" t="s">
        <v>49</v>
      </c>
      <c r="M22" s="22">
        <v>0.54166666666666663</v>
      </c>
      <c r="N22" s="22">
        <v>0.69791666666666663</v>
      </c>
      <c r="O22" s="20">
        <v>90</v>
      </c>
      <c r="P22" s="20">
        <v>80</v>
      </c>
      <c r="Q22" s="20" t="s">
        <v>394</v>
      </c>
      <c r="R22" s="20">
        <v>0</v>
      </c>
      <c r="S22" s="20" t="s">
        <v>11</v>
      </c>
      <c r="T22" s="20" t="s">
        <v>12</v>
      </c>
      <c r="U22" s="20" t="s">
        <v>13</v>
      </c>
      <c r="V22" s="20" t="s">
        <v>14</v>
      </c>
      <c r="W22" s="20" t="s">
        <v>15</v>
      </c>
      <c r="X22" s="20">
        <v>18000</v>
      </c>
      <c r="Y22" s="20">
        <v>225</v>
      </c>
      <c r="Z22" s="20">
        <v>3.3833000000000002E-2</v>
      </c>
      <c r="AA22" s="20">
        <v>533754</v>
      </c>
      <c r="AB22" s="20">
        <v>3.3723400667723336E-2</v>
      </c>
      <c r="AC22" s="20">
        <v>0.33800000000000002</v>
      </c>
      <c r="AD22" s="20" t="s">
        <v>16</v>
      </c>
      <c r="AE22" s="20" t="s">
        <v>17</v>
      </c>
      <c r="AF22" s="20">
        <v>0</v>
      </c>
      <c r="AG22" s="20" t="s">
        <v>394</v>
      </c>
      <c r="AH22" s="20" t="s">
        <v>45</v>
      </c>
      <c r="AI22" s="20" t="s">
        <v>15</v>
      </c>
      <c r="AJ22" s="20">
        <v>-1</v>
      </c>
      <c r="AK22" s="20" t="s">
        <v>15</v>
      </c>
      <c r="AL22" s="20">
        <v>-1</v>
      </c>
      <c r="AM22" s="20" t="s">
        <v>395</v>
      </c>
      <c r="AN22">
        <v>20</v>
      </c>
    </row>
    <row r="23" spans="1:40" x14ac:dyDescent="0.25">
      <c r="A23" s="20" t="s">
        <v>7</v>
      </c>
      <c r="B23" s="21" t="s">
        <v>8</v>
      </c>
      <c r="C23" s="20" t="s">
        <v>9</v>
      </c>
      <c r="D23" s="21" t="s">
        <v>396</v>
      </c>
      <c r="E23" s="20">
        <v>2018</v>
      </c>
      <c r="F23" s="20">
        <v>1</v>
      </c>
      <c r="G23" s="20" t="s">
        <v>329</v>
      </c>
      <c r="H23" s="20" t="s">
        <v>10</v>
      </c>
      <c r="I23" s="20" t="s">
        <v>397</v>
      </c>
      <c r="J23" s="20">
        <v>4035</v>
      </c>
      <c r="K23" s="20" t="s">
        <v>398</v>
      </c>
      <c r="L23" s="20" t="s">
        <v>398</v>
      </c>
      <c r="M23" s="22">
        <v>0.35347222222222219</v>
      </c>
      <c r="N23" s="22">
        <v>0.56666666666666665</v>
      </c>
      <c r="O23" s="20">
        <v>27</v>
      </c>
      <c r="P23" s="20">
        <v>40</v>
      </c>
      <c r="Q23" s="20" t="s">
        <v>399</v>
      </c>
      <c r="R23" s="20">
        <v>100</v>
      </c>
      <c r="S23" s="20" t="s">
        <v>400</v>
      </c>
      <c r="T23" s="20" t="s">
        <v>19</v>
      </c>
      <c r="U23" s="20" t="s">
        <v>13</v>
      </c>
      <c r="V23" s="20" t="s">
        <v>14</v>
      </c>
      <c r="W23" s="20" t="s">
        <v>15</v>
      </c>
      <c r="X23" s="20">
        <v>12280</v>
      </c>
      <c r="Y23" s="20">
        <v>307</v>
      </c>
      <c r="Z23" s="20">
        <v>2.3081999999999998E-2</v>
      </c>
      <c r="AA23" s="20">
        <v>533754</v>
      </c>
      <c r="AB23" s="20">
        <v>2.3006853344424587E-2</v>
      </c>
      <c r="AC23" s="20">
        <v>0.13800000000000001</v>
      </c>
      <c r="AD23" s="20" t="s">
        <v>16</v>
      </c>
      <c r="AE23" s="20" t="s">
        <v>17</v>
      </c>
      <c r="AF23" s="20">
        <v>0</v>
      </c>
      <c r="AG23" s="20" t="s">
        <v>399</v>
      </c>
      <c r="AH23" s="20" t="s">
        <v>401</v>
      </c>
      <c r="AI23" s="20" t="s">
        <v>15</v>
      </c>
      <c r="AJ23" s="20">
        <v>-1</v>
      </c>
      <c r="AK23" s="20" t="s">
        <v>15</v>
      </c>
      <c r="AL23" s="20">
        <v>-1</v>
      </c>
      <c r="AM23" s="20" t="s">
        <v>18</v>
      </c>
      <c r="AN23">
        <v>21</v>
      </c>
    </row>
    <row r="24" spans="1:40" x14ac:dyDescent="0.25">
      <c r="A24" s="20" t="s">
        <v>7</v>
      </c>
      <c r="B24" s="21" t="s">
        <v>8</v>
      </c>
      <c r="C24" s="20" t="s">
        <v>9</v>
      </c>
      <c r="D24" s="21" t="s">
        <v>402</v>
      </c>
      <c r="E24" s="20">
        <v>2018</v>
      </c>
      <c r="F24" s="20">
        <v>1</v>
      </c>
      <c r="G24" s="20" t="s">
        <v>342</v>
      </c>
      <c r="H24" s="20" t="s">
        <v>342</v>
      </c>
      <c r="I24" s="20" t="s">
        <v>361</v>
      </c>
      <c r="J24" s="20">
        <v>4020</v>
      </c>
      <c r="K24" s="20" t="s">
        <v>204</v>
      </c>
      <c r="L24" s="20" t="s">
        <v>204</v>
      </c>
      <c r="M24" s="22">
        <v>0.60347222222222219</v>
      </c>
      <c r="N24" s="22">
        <v>0.73749999999999993</v>
      </c>
      <c r="O24" s="20">
        <v>72</v>
      </c>
      <c r="P24" s="20">
        <v>132</v>
      </c>
      <c r="Q24" s="20" t="s">
        <v>403</v>
      </c>
      <c r="R24" s="20">
        <v>0</v>
      </c>
      <c r="S24" s="20" t="s">
        <v>11</v>
      </c>
      <c r="T24" s="20" t="s">
        <v>19</v>
      </c>
      <c r="U24" s="20" t="s">
        <v>13</v>
      </c>
      <c r="V24" s="20" t="s">
        <v>14</v>
      </c>
      <c r="W24" s="20" t="s">
        <v>15</v>
      </c>
      <c r="X24" s="20">
        <v>25476</v>
      </c>
      <c r="Y24" s="20">
        <v>193</v>
      </c>
      <c r="Z24" s="20">
        <v>4.7884999999999997E-2</v>
      </c>
      <c r="AA24" s="20">
        <v>533754</v>
      </c>
      <c r="AB24" s="20">
        <v>4.7729853078384427E-2</v>
      </c>
      <c r="AC24" s="20">
        <v>0.23200000000000001</v>
      </c>
      <c r="AD24" s="20" t="s">
        <v>16</v>
      </c>
      <c r="AE24" s="20" t="s">
        <v>17</v>
      </c>
      <c r="AF24" s="20">
        <v>0</v>
      </c>
      <c r="AG24" s="20" t="s">
        <v>403</v>
      </c>
      <c r="AH24" s="20" t="s">
        <v>45</v>
      </c>
      <c r="AI24" s="20" t="s">
        <v>15</v>
      </c>
      <c r="AJ24" s="20">
        <v>-1</v>
      </c>
      <c r="AK24" s="20" t="s">
        <v>15</v>
      </c>
      <c r="AL24" s="20">
        <v>-1</v>
      </c>
      <c r="AM24" s="20" t="s">
        <v>404</v>
      </c>
      <c r="AN24">
        <v>22</v>
      </c>
    </row>
    <row r="25" spans="1:40" x14ac:dyDescent="0.25">
      <c r="A25" s="20" t="s">
        <v>7</v>
      </c>
      <c r="B25" s="21" t="s">
        <v>8</v>
      </c>
      <c r="C25" s="20" t="s">
        <v>9</v>
      </c>
      <c r="D25" s="21" t="s">
        <v>405</v>
      </c>
      <c r="E25" s="20">
        <v>2018</v>
      </c>
      <c r="F25" s="20">
        <v>1</v>
      </c>
      <c r="G25" s="20" t="s">
        <v>342</v>
      </c>
      <c r="H25" s="20" t="s">
        <v>342</v>
      </c>
      <c r="I25" s="20" t="s">
        <v>361</v>
      </c>
      <c r="J25" s="20">
        <v>4020</v>
      </c>
      <c r="K25" s="20" t="s">
        <v>204</v>
      </c>
      <c r="L25" s="20" t="s">
        <v>204</v>
      </c>
      <c r="M25" s="22">
        <v>0.33333333333333331</v>
      </c>
      <c r="N25" s="22">
        <v>0.42708333333333331</v>
      </c>
      <c r="O25" s="20">
        <v>46</v>
      </c>
      <c r="P25" s="20">
        <v>52</v>
      </c>
      <c r="Q25" s="20" t="s">
        <v>406</v>
      </c>
      <c r="R25" s="20">
        <v>0</v>
      </c>
      <c r="S25" s="20" t="s">
        <v>11</v>
      </c>
      <c r="T25" s="20" t="s">
        <v>12</v>
      </c>
      <c r="U25" s="20" t="s">
        <v>13</v>
      </c>
      <c r="V25" s="20" t="s">
        <v>14</v>
      </c>
      <c r="W25" s="20" t="s">
        <v>15</v>
      </c>
      <c r="X25" s="20">
        <v>7020</v>
      </c>
      <c r="Y25" s="20">
        <v>135</v>
      </c>
      <c r="Z25" s="20">
        <v>1.3195E-2</v>
      </c>
      <c r="AA25" s="20">
        <v>533754</v>
      </c>
      <c r="AB25" s="20">
        <v>1.31521262604121E-2</v>
      </c>
      <c r="AC25" s="20">
        <v>0.10299999999999999</v>
      </c>
      <c r="AD25" s="20" t="s">
        <v>16</v>
      </c>
      <c r="AE25" s="20" t="s">
        <v>17</v>
      </c>
      <c r="AF25" s="20">
        <v>0</v>
      </c>
      <c r="AG25" s="20" t="s">
        <v>406</v>
      </c>
      <c r="AH25" s="20" t="s">
        <v>386</v>
      </c>
      <c r="AI25" s="20" t="s">
        <v>15</v>
      </c>
      <c r="AJ25" s="20">
        <v>-1</v>
      </c>
      <c r="AK25" s="20" t="s">
        <v>15</v>
      </c>
      <c r="AL25" s="20">
        <v>-1</v>
      </c>
      <c r="AM25" s="20" t="s">
        <v>407</v>
      </c>
      <c r="AN25">
        <v>23</v>
      </c>
    </row>
    <row r="26" spans="1:40" x14ac:dyDescent="0.25">
      <c r="A26" s="20" t="s">
        <v>7</v>
      </c>
      <c r="B26" s="21" t="s">
        <v>8</v>
      </c>
      <c r="C26" s="20" t="s">
        <v>9</v>
      </c>
      <c r="D26" s="21" t="s">
        <v>202</v>
      </c>
      <c r="E26" s="20">
        <v>2018</v>
      </c>
      <c r="F26" s="20">
        <v>1</v>
      </c>
      <c r="G26" s="20" t="s">
        <v>9</v>
      </c>
      <c r="H26" s="20" t="s">
        <v>10</v>
      </c>
      <c r="I26" s="20" t="s">
        <v>203</v>
      </c>
      <c r="J26" s="20">
        <v>4025</v>
      </c>
      <c r="K26" s="20" t="s">
        <v>204</v>
      </c>
      <c r="L26" s="20" t="s">
        <v>204</v>
      </c>
      <c r="M26" s="22">
        <v>0.3666666666666667</v>
      </c>
      <c r="N26" s="22">
        <v>0.67361111111111116</v>
      </c>
      <c r="O26" s="20">
        <v>22</v>
      </c>
      <c r="P26" s="20">
        <v>57</v>
      </c>
      <c r="Q26" s="20" t="s">
        <v>205</v>
      </c>
      <c r="R26" s="20">
        <v>100</v>
      </c>
      <c r="S26" s="20" t="s">
        <v>11</v>
      </c>
      <c r="T26" s="20" t="s">
        <v>12</v>
      </c>
      <c r="U26" s="20" t="s">
        <v>13</v>
      </c>
      <c r="V26" s="20" t="s">
        <v>14</v>
      </c>
      <c r="W26" s="20" t="s">
        <v>15</v>
      </c>
      <c r="X26" s="20">
        <v>25194</v>
      </c>
      <c r="Y26" s="20">
        <v>442</v>
      </c>
      <c r="Z26" s="20">
        <v>4.7355000000000001E-2</v>
      </c>
      <c r="AA26" s="20">
        <v>533754</v>
      </c>
      <c r="AB26" s="20">
        <v>4.720151980125676E-2</v>
      </c>
      <c r="AC26" s="20">
        <v>0.16200000000000001</v>
      </c>
      <c r="AD26" s="20" t="s">
        <v>16</v>
      </c>
      <c r="AE26" s="20" t="s">
        <v>17</v>
      </c>
      <c r="AF26" s="20">
        <v>0</v>
      </c>
      <c r="AG26" s="20" t="s">
        <v>205</v>
      </c>
      <c r="AH26" s="20" t="s">
        <v>46</v>
      </c>
      <c r="AI26" s="20" t="s">
        <v>15</v>
      </c>
      <c r="AJ26" s="20">
        <v>-1</v>
      </c>
      <c r="AK26" s="20" t="s">
        <v>15</v>
      </c>
      <c r="AL26" s="20">
        <v>-1</v>
      </c>
      <c r="AM26" s="20" t="s">
        <v>206</v>
      </c>
      <c r="AN26">
        <v>24</v>
      </c>
    </row>
    <row r="27" spans="1:40" x14ac:dyDescent="0.25">
      <c r="A27" s="20" t="s">
        <v>7</v>
      </c>
      <c r="B27" s="21" t="s">
        <v>8</v>
      </c>
      <c r="C27" s="20" t="s">
        <v>9</v>
      </c>
      <c r="D27" s="21" t="s">
        <v>207</v>
      </c>
      <c r="E27" s="20">
        <v>2018</v>
      </c>
      <c r="F27" s="20">
        <v>1</v>
      </c>
      <c r="G27" s="20" t="s">
        <v>9</v>
      </c>
      <c r="H27" s="20" t="s">
        <v>10</v>
      </c>
      <c r="I27" s="20" t="s">
        <v>208</v>
      </c>
      <c r="J27" s="20">
        <v>4010</v>
      </c>
      <c r="K27" s="20" t="s">
        <v>209</v>
      </c>
      <c r="L27" s="20" t="s">
        <v>209</v>
      </c>
      <c r="M27" s="22">
        <v>0.36388888888888887</v>
      </c>
      <c r="N27" s="22">
        <v>0.57152777777777775</v>
      </c>
      <c r="O27" s="20">
        <v>6</v>
      </c>
      <c r="P27" s="20">
        <v>12</v>
      </c>
      <c r="Q27" s="20" t="s">
        <v>210</v>
      </c>
      <c r="R27" s="20">
        <v>100</v>
      </c>
      <c r="S27" s="20" t="s">
        <v>11</v>
      </c>
      <c r="T27" s="20" t="s">
        <v>24</v>
      </c>
      <c r="U27" s="20" t="s">
        <v>13</v>
      </c>
      <c r="V27" s="20" t="s">
        <v>14</v>
      </c>
      <c r="W27" s="20" t="s">
        <v>15</v>
      </c>
      <c r="X27" s="20">
        <v>3588</v>
      </c>
      <c r="Y27" s="20">
        <v>299</v>
      </c>
      <c r="Z27" s="20">
        <v>6.744E-3</v>
      </c>
      <c r="AA27" s="20">
        <v>533754</v>
      </c>
      <c r="AB27" s="20">
        <v>6.7221978664328509E-3</v>
      </c>
      <c r="AC27" s="20">
        <v>0.03</v>
      </c>
      <c r="AD27" s="20" t="s">
        <v>16</v>
      </c>
      <c r="AE27" s="20" t="s">
        <v>17</v>
      </c>
      <c r="AF27" s="20">
        <v>0</v>
      </c>
      <c r="AG27" s="20" t="s">
        <v>210</v>
      </c>
      <c r="AH27" s="20" t="s">
        <v>211</v>
      </c>
      <c r="AI27" s="20" t="s">
        <v>15</v>
      </c>
      <c r="AJ27" s="20">
        <v>-1</v>
      </c>
      <c r="AK27" s="20" t="s">
        <v>15</v>
      </c>
      <c r="AL27" s="20">
        <v>-1</v>
      </c>
      <c r="AM27" s="20" t="s">
        <v>212</v>
      </c>
      <c r="AN27">
        <v>25</v>
      </c>
    </row>
    <row r="28" spans="1:40" x14ac:dyDescent="0.25">
      <c r="A28" s="20" t="s">
        <v>7</v>
      </c>
      <c r="B28" s="21" t="s">
        <v>8</v>
      </c>
      <c r="C28" s="20" t="s">
        <v>9</v>
      </c>
      <c r="D28" s="21" t="s">
        <v>408</v>
      </c>
      <c r="E28" s="20">
        <v>2018</v>
      </c>
      <c r="F28" s="20">
        <v>1</v>
      </c>
      <c r="G28" s="20" t="s">
        <v>342</v>
      </c>
      <c r="H28" s="20" t="s">
        <v>342</v>
      </c>
      <c r="I28" s="20" t="s">
        <v>343</v>
      </c>
      <c r="J28" s="20">
        <v>4050</v>
      </c>
      <c r="K28" s="20" t="s">
        <v>409</v>
      </c>
      <c r="L28" s="20" t="s">
        <v>409</v>
      </c>
      <c r="M28" s="22">
        <v>0.3840277777777778</v>
      </c>
      <c r="N28" s="22">
        <v>0.55138888888888882</v>
      </c>
      <c r="O28" s="20">
        <v>110</v>
      </c>
      <c r="P28" s="20">
        <v>160</v>
      </c>
      <c r="Q28" s="20" t="s">
        <v>410</v>
      </c>
      <c r="R28" s="20">
        <v>0</v>
      </c>
      <c r="S28" s="20" t="s">
        <v>11</v>
      </c>
      <c r="T28" s="20" t="s">
        <v>12</v>
      </c>
      <c r="U28" s="20" t="s">
        <v>13</v>
      </c>
      <c r="V28" s="20" t="s">
        <v>14</v>
      </c>
      <c r="W28" s="20" t="s">
        <v>15</v>
      </c>
      <c r="X28" s="20">
        <v>38560</v>
      </c>
      <c r="Y28" s="20">
        <v>241</v>
      </c>
      <c r="Z28" s="20">
        <v>7.2478000000000001E-2</v>
      </c>
      <c r="AA28" s="20">
        <v>533754</v>
      </c>
      <c r="AB28" s="20">
        <v>7.2243018319300648E-2</v>
      </c>
      <c r="AC28" s="20">
        <v>0.442</v>
      </c>
      <c r="AD28" s="20" t="s">
        <v>16</v>
      </c>
      <c r="AE28" s="20" t="s">
        <v>17</v>
      </c>
      <c r="AF28" s="20">
        <v>0</v>
      </c>
      <c r="AG28" s="20" t="s">
        <v>410</v>
      </c>
      <c r="AH28" s="20" t="s">
        <v>386</v>
      </c>
      <c r="AI28" s="20" t="s">
        <v>15</v>
      </c>
      <c r="AJ28" s="20">
        <v>-1</v>
      </c>
      <c r="AK28" s="20" t="s">
        <v>15</v>
      </c>
      <c r="AL28" s="20">
        <v>-1</v>
      </c>
      <c r="AM28" s="20" t="s">
        <v>411</v>
      </c>
      <c r="AN28">
        <v>26</v>
      </c>
    </row>
    <row r="29" spans="1:40" x14ac:dyDescent="0.25">
      <c r="A29" s="20" t="s">
        <v>7</v>
      </c>
      <c r="B29" s="21" t="s">
        <v>8</v>
      </c>
      <c r="C29" s="20" t="s">
        <v>9</v>
      </c>
      <c r="D29" s="21" t="s">
        <v>412</v>
      </c>
      <c r="E29" s="20">
        <v>2018</v>
      </c>
      <c r="F29" s="20">
        <v>1</v>
      </c>
      <c r="G29" s="20" t="s">
        <v>342</v>
      </c>
      <c r="H29" s="20" t="s">
        <v>342</v>
      </c>
      <c r="I29" s="20" t="s">
        <v>361</v>
      </c>
      <c r="J29" s="20">
        <v>4020</v>
      </c>
      <c r="K29" s="20" t="s">
        <v>409</v>
      </c>
      <c r="L29" s="20" t="s">
        <v>409</v>
      </c>
      <c r="M29" s="22">
        <v>0.21319444444444444</v>
      </c>
      <c r="N29" s="22">
        <v>0.57291666666666663</v>
      </c>
      <c r="O29" s="20">
        <v>26</v>
      </c>
      <c r="P29" s="20">
        <v>50</v>
      </c>
      <c r="Q29" s="20" t="s">
        <v>413</v>
      </c>
      <c r="R29" s="20">
        <v>0</v>
      </c>
      <c r="S29" s="20" t="s">
        <v>11</v>
      </c>
      <c r="T29" s="20" t="s">
        <v>24</v>
      </c>
      <c r="U29" s="20" t="s">
        <v>13</v>
      </c>
      <c r="V29" s="20" t="s">
        <v>14</v>
      </c>
      <c r="W29" s="20" t="s">
        <v>15</v>
      </c>
      <c r="X29" s="20">
        <v>25900</v>
      </c>
      <c r="Y29" s="20">
        <v>518</v>
      </c>
      <c r="Z29" s="20">
        <v>4.8682000000000003E-2</v>
      </c>
      <c r="AA29" s="20">
        <v>533754</v>
      </c>
      <c r="AB29" s="20">
        <v>4.8524226516335242E-2</v>
      </c>
      <c r="AC29" s="20">
        <v>0.22500000000000001</v>
      </c>
      <c r="AD29" s="20" t="s">
        <v>16</v>
      </c>
      <c r="AE29" s="20" t="s">
        <v>17</v>
      </c>
      <c r="AF29" s="20">
        <v>0</v>
      </c>
      <c r="AG29" s="20" t="s">
        <v>413</v>
      </c>
      <c r="AH29" s="20" t="s">
        <v>386</v>
      </c>
      <c r="AI29" s="20" t="s">
        <v>15</v>
      </c>
      <c r="AJ29" s="20">
        <v>-1</v>
      </c>
      <c r="AK29" s="20" t="s">
        <v>15</v>
      </c>
      <c r="AL29" s="20">
        <v>-1</v>
      </c>
      <c r="AM29" s="20" t="s">
        <v>414</v>
      </c>
      <c r="AN29">
        <v>27</v>
      </c>
    </row>
    <row r="30" spans="1:40" x14ac:dyDescent="0.25">
      <c r="A30" s="20" t="s">
        <v>7</v>
      </c>
      <c r="B30" s="21" t="s">
        <v>8</v>
      </c>
      <c r="C30" s="20" t="s">
        <v>415</v>
      </c>
      <c r="D30" s="21" t="s">
        <v>416</v>
      </c>
      <c r="E30" s="20">
        <v>2018</v>
      </c>
      <c r="F30" s="20">
        <v>1</v>
      </c>
      <c r="G30" s="20" t="s">
        <v>415</v>
      </c>
      <c r="H30" s="20" t="s">
        <v>10</v>
      </c>
      <c r="I30" s="20" t="s">
        <v>417</v>
      </c>
      <c r="J30" s="20">
        <v>73730</v>
      </c>
      <c r="K30" s="20" t="s">
        <v>337</v>
      </c>
      <c r="L30" s="20" t="s">
        <v>337</v>
      </c>
      <c r="M30" s="22">
        <v>0.26597222222222222</v>
      </c>
      <c r="N30" s="22">
        <v>0.26597222222222222</v>
      </c>
      <c r="O30" s="20">
        <v>0</v>
      </c>
      <c r="P30" s="20">
        <v>0</v>
      </c>
      <c r="Q30" s="20" t="s">
        <v>16</v>
      </c>
      <c r="R30" s="20">
        <v>100</v>
      </c>
      <c r="S30" s="20"/>
      <c r="T30" s="20" t="s">
        <v>418</v>
      </c>
      <c r="U30" s="20" t="s">
        <v>13</v>
      </c>
      <c r="V30" s="20" t="s">
        <v>419</v>
      </c>
      <c r="W30" s="20"/>
      <c r="X30" s="20">
        <v>0</v>
      </c>
      <c r="Y30" s="20">
        <v>0</v>
      </c>
      <c r="Z30" s="20">
        <v>0</v>
      </c>
      <c r="AA30" s="20">
        <v>533754</v>
      </c>
      <c r="AB30" s="20">
        <v>0</v>
      </c>
      <c r="AC30" s="20">
        <v>0</v>
      </c>
      <c r="AD30" s="20" t="s">
        <v>15</v>
      </c>
      <c r="AE30" s="20" t="s">
        <v>21</v>
      </c>
      <c r="AF30" s="20">
        <v>0</v>
      </c>
      <c r="AG30" s="20">
        <v>0</v>
      </c>
      <c r="AH30" s="20" t="s">
        <v>420</v>
      </c>
      <c r="AI30" s="20" t="s">
        <v>15</v>
      </c>
      <c r="AJ30" s="20">
        <v>-1</v>
      </c>
      <c r="AK30" s="20" t="s">
        <v>16</v>
      </c>
      <c r="AL30" s="20">
        <v>-1</v>
      </c>
      <c r="AM30" s="20" t="s">
        <v>18</v>
      </c>
      <c r="AN30">
        <v>28</v>
      </c>
    </row>
    <row r="31" spans="1:40" x14ac:dyDescent="0.25">
      <c r="A31" s="20" t="s">
        <v>7</v>
      </c>
      <c r="B31" s="21" t="s">
        <v>8</v>
      </c>
      <c r="C31" s="20" t="s">
        <v>9</v>
      </c>
      <c r="D31" s="21" t="s">
        <v>421</v>
      </c>
      <c r="E31" s="20">
        <v>2018</v>
      </c>
      <c r="F31" s="20">
        <v>2</v>
      </c>
      <c r="G31" s="20" t="s">
        <v>329</v>
      </c>
      <c r="H31" s="20" t="s">
        <v>10</v>
      </c>
      <c r="I31" s="20" t="s">
        <v>376</v>
      </c>
      <c r="J31" s="20">
        <v>4010</v>
      </c>
      <c r="K31" s="20" t="s">
        <v>422</v>
      </c>
      <c r="L31" s="20" t="s">
        <v>423</v>
      </c>
      <c r="M31" s="22">
        <v>0.86597222222222225</v>
      </c>
      <c r="N31" s="22">
        <v>0.52430555555555558</v>
      </c>
      <c r="O31" s="20">
        <v>23</v>
      </c>
      <c r="P31" s="20">
        <v>34</v>
      </c>
      <c r="Q31" s="20" t="s">
        <v>389</v>
      </c>
      <c r="R31" s="20">
        <v>100</v>
      </c>
      <c r="S31" s="20" t="s">
        <v>400</v>
      </c>
      <c r="T31" s="20" t="s">
        <v>19</v>
      </c>
      <c r="U31" s="20" t="s">
        <v>13</v>
      </c>
      <c r="V31" s="20" t="s">
        <v>14</v>
      </c>
      <c r="W31" s="20" t="s">
        <v>15</v>
      </c>
      <c r="X31" s="20">
        <v>32232</v>
      </c>
      <c r="Y31" s="20">
        <v>948</v>
      </c>
      <c r="Z31" s="20">
        <v>6.0533999999999998E-2</v>
      </c>
      <c r="AA31" s="20">
        <v>533754</v>
      </c>
      <c r="AB31" s="20">
        <v>6.0387369462336582E-2</v>
      </c>
      <c r="AC31" s="20">
        <v>0.36299999999999999</v>
      </c>
      <c r="AD31" s="20" t="s">
        <v>16</v>
      </c>
      <c r="AE31" s="20" t="s">
        <v>17</v>
      </c>
      <c r="AF31" s="20">
        <v>0</v>
      </c>
      <c r="AG31" s="20" t="s">
        <v>389</v>
      </c>
      <c r="AH31" s="20" t="s">
        <v>424</v>
      </c>
      <c r="AI31" s="20" t="s">
        <v>15</v>
      </c>
      <c r="AJ31" s="20">
        <v>-1</v>
      </c>
      <c r="AK31" s="20" t="s">
        <v>15</v>
      </c>
      <c r="AL31" s="20">
        <v>-1</v>
      </c>
      <c r="AM31" s="20" t="s">
        <v>18</v>
      </c>
      <c r="AN31">
        <v>29</v>
      </c>
    </row>
    <row r="32" spans="1:40" x14ac:dyDescent="0.25">
      <c r="A32" s="20" t="s">
        <v>7</v>
      </c>
      <c r="B32" s="21" t="s">
        <v>8</v>
      </c>
      <c r="C32" s="20" t="s">
        <v>9</v>
      </c>
      <c r="D32" s="21" t="s">
        <v>425</v>
      </c>
      <c r="E32" s="20">
        <v>2018</v>
      </c>
      <c r="F32" s="20">
        <v>2</v>
      </c>
      <c r="G32" s="20" t="s">
        <v>323</v>
      </c>
      <c r="H32" s="20" t="s">
        <v>10</v>
      </c>
      <c r="I32" s="20" t="s">
        <v>381</v>
      </c>
      <c r="J32" s="20">
        <v>4040</v>
      </c>
      <c r="K32" s="20" t="s">
        <v>422</v>
      </c>
      <c r="L32" s="20" t="s">
        <v>422</v>
      </c>
      <c r="M32" s="22">
        <v>0.81319444444444444</v>
      </c>
      <c r="N32" s="22">
        <v>0.87152777777777779</v>
      </c>
      <c r="O32" s="20">
        <v>75</v>
      </c>
      <c r="P32" s="20">
        <v>115</v>
      </c>
      <c r="Q32" s="20" t="s">
        <v>426</v>
      </c>
      <c r="R32" s="20">
        <v>100</v>
      </c>
      <c r="S32" s="20" t="s">
        <v>11</v>
      </c>
      <c r="T32" s="20" t="s">
        <v>12</v>
      </c>
      <c r="U32" s="20" t="s">
        <v>13</v>
      </c>
      <c r="V32" s="20" t="s">
        <v>14</v>
      </c>
      <c r="W32" s="20" t="s">
        <v>15</v>
      </c>
      <c r="X32" s="20">
        <v>9660</v>
      </c>
      <c r="Y32" s="20">
        <v>84</v>
      </c>
      <c r="Z32" s="20">
        <v>1.8141999999999998E-2</v>
      </c>
      <c r="AA32" s="20">
        <v>533754</v>
      </c>
      <c r="AB32" s="20">
        <v>1.8098225025011523E-2</v>
      </c>
      <c r="AC32" s="20">
        <v>0.105</v>
      </c>
      <c r="AD32" s="20" t="s">
        <v>16</v>
      </c>
      <c r="AE32" s="20" t="s">
        <v>17</v>
      </c>
      <c r="AF32" s="20">
        <v>0</v>
      </c>
      <c r="AG32" s="20" t="s">
        <v>426</v>
      </c>
      <c r="AH32" s="20" t="s">
        <v>427</v>
      </c>
      <c r="AI32" s="20" t="s">
        <v>15</v>
      </c>
      <c r="AJ32" s="20">
        <v>-1</v>
      </c>
      <c r="AK32" s="20" t="s">
        <v>15</v>
      </c>
      <c r="AL32" s="20">
        <v>-1</v>
      </c>
      <c r="AM32" s="20" t="s">
        <v>428</v>
      </c>
      <c r="AN32">
        <v>30</v>
      </c>
    </row>
    <row r="33" spans="1:40" x14ac:dyDescent="0.25">
      <c r="A33" s="20" t="s">
        <v>7</v>
      </c>
      <c r="B33" s="21" t="s">
        <v>8</v>
      </c>
      <c r="C33" s="20" t="s">
        <v>9</v>
      </c>
      <c r="D33" s="21" t="s">
        <v>429</v>
      </c>
      <c r="E33" s="20">
        <v>2018</v>
      </c>
      <c r="F33" s="20">
        <v>2</v>
      </c>
      <c r="G33" s="20" t="s">
        <v>329</v>
      </c>
      <c r="H33" s="20" t="s">
        <v>10</v>
      </c>
      <c r="I33" s="20" t="s">
        <v>430</v>
      </c>
      <c r="J33" s="20">
        <v>4032</v>
      </c>
      <c r="K33" s="20" t="s">
        <v>431</v>
      </c>
      <c r="L33" s="20" t="s">
        <v>431</v>
      </c>
      <c r="M33" s="22">
        <v>0.46875</v>
      </c>
      <c r="N33" s="22">
        <v>0.81458333333333333</v>
      </c>
      <c r="O33" s="20">
        <v>64</v>
      </c>
      <c r="P33" s="20">
        <v>66</v>
      </c>
      <c r="Q33" s="20" t="s">
        <v>432</v>
      </c>
      <c r="R33" s="20">
        <v>100</v>
      </c>
      <c r="S33" s="20" t="s">
        <v>433</v>
      </c>
      <c r="T33" s="20" t="s">
        <v>19</v>
      </c>
      <c r="U33" s="20" t="s">
        <v>13</v>
      </c>
      <c r="V33" s="20" t="s">
        <v>14</v>
      </c>
      <c r="W33" s="20" t="s">
        <v>15</v>
      </c>
      <c r="X33" s="20">
        <v>32868</v>
      </c>
      <c r="Y33" s="20">
        <v>498</v>
      </c>
      <c r="Z33" s="20">
        <v>6.1728999999999999E-2</v>
      </c>
      <c r="AA33" s="20">
        <v>533754</v>
      </c>
      <c r="AB33" s="20">
        <v>6.1578929619262805E-2</v>
      </c>
      <c r="AC33" s="20">
        <v>0.53100000000000003</v>
      </c>
      <c r="AD33" s="20" t="s">
        <v>16</v>
      </c>
      <c r="AE33" s="20" t="s">
        <v>17</v>
      </c>
      <c r="AF33" s="20">
        <v>0</v>
      </c>
      <c r="AG33" s="20" t="s">
        <v>432</v>
      </c>
      <c r="AH33" s="20" t="s">
        <v>434</v>
      </c>
      <c r="AI33" s="20" t="s">
        <v>15</v>
      </c>
      <c r="AJ33" s="20">
        <v>-1</v>
      </c>
      <c r="AK33" s="20" t="s">
        <v>15</v>
      </c>
      <c r="AL33" s="20">
        <v>-1</v>
      </c>
      <c r="AM33" s="20" t="s">
        <v>18</v>
      </c>
      <c r="AN33">
        <v>31</v>
      </c>
    </row>
    <row r="34" spans="1:40" x14ac:dyDescent="0.25">
      <c r="A34" s="20" t="s">
        <v>7</v>
      </c>
      <c r="B34" s="21" t="s">
        <v>8</v>
      </c>
      <c r="C34" s="20" t="s">
        <v>9</v>
      </c>
      <c r="D34" s="21" t="s">
        <v>213</v>
      </c>
      <c r="E34" s="20">
        <v>2018</v>
      </c>
      <c r="F34" s="20">
        <v>2</v>
      </c>
      <c r="G34" s="20" t="s">
        <v>9</v>
      </c>
      <c r="H34" s="20" t="s">
        <v>10</v>
      </c>
      <c r="I34" s="20" t="s">
        <v>214</v>
      </c>
      <c r="J34" s="20">
        <v>4050</v>
      </c>
      <c r="K34" s="20" t="s">
        <v>215</v>
      </c>
      <c r="L34" s="20" t="s">
        <v>215</v>
      </c>
      <c r="M34" s="22">
        <v>0.60069444444444442</v>
      </c>
      <c r="N34" s="22">
        <v>0.7104166666666667</v>
      </c>
      <c r="O34" s="20">
        <v>150</v>
      </c>
      <c r="P34" s="20">
        <v>231</v>
      </c>
      <c r="Q34" s="20" t="s">
        <v>216</v>
      </c>
      <c r="R34" s="20">
        <v>100</v>
      </c>
      <c r="S34" s="20" t="s">
        <v>48</v>
      </c>
      <c r="T34" s="20" t="s">
        <v>19</v>
      </c>
      <c r="U34" s="20" t="s">
        <v>13</v>
      </c>
      <c r="V34" s="20" t="s">
        <v>14</v>
      </c>
      <c r="W34" s="20" t="s">
        <v>15</v>
      </c>
      <c r="X34" s="20">
        <v>36498</v>
      </c>
      <c r="Y34" s="20">
        <v>158</v>
      </c>
      <c r="Z34" s="20">
        <v>6.8545999999999996E-2</v>
      </c>
      <c r="AA34" s="20">
        <v>533754</v>
      </c>
      <c r="AB34" s="20">
        <v>6.8379815420587006E-2</v>
      </c>
      <c r="AC34" s="20">
        <v>0.39500000000000002</v>
      </c>
      <c r="AD34" s="20" t="s">
        <v>16</v>
      </c>
      <c r="AE34" s="20" t="s">
        <v>17</v>
      </c>
      <c r="AF34" s="20">
        <v>0</v>
      </c>
      <c r="AG34" s="20" t="s">
        <v>216</v>
      </c>
      <c r="AH34" s="20" t="s">
        <v>217</v>
      </c>
      <c r="AI34" s="20" t="s">
        <v>15</v>
      </c>
      <c r="AJ34" s="20">
        <v>-1</v>
      </c>
      <c r="AK34" s="20" t="s">
        <v>15</v>
      </c>
      <c r="AL34" s="20">
        <v>-1</v>
      </c>
      <c r="AM34" s="20" t="s">
        <v>218</v>
      </c>
      <c r="AN34">
        <v>32</v>
      </c>
    </row>
    <row r="35" spans="1:40" x14ac:dyDescent="0.25">
      <c r="A35" s="20" t="s">
        <v>7</v>
      </c>
      <c r="B35" s="21" t="s">
        <v>8</v>
      </c>
      <c r="C35" s="20" t="s">
        <v>9</v>
      </c>
      <c r="D35" s="21" t="s">
        <v>435</v>
      </c>
      <c r="E35" s="20">
        <v>2018</v>
      </c>
      <c r="F35" s="20">
        <v>2</v>
      </c>
      <c r="G35" s="20" t="s">
        <v>323</v>
      </c>
      <c r="H35" s="20" t="s">
        <v>10</v>
      </c>
      <c r="I35" s="20" t="s">
        <v>324</v>
      </c>
      <c r="J35" s="20">
        <v>4030</v>
      </c>
      <c r="K35" s="20" t="s">
        <v>436</v>
      </c>
      <c r="L35" s="20" t="s">
        <v>436</v>
      </c>
      <c r="M35" s="22">
        <v>0.41736111111111113</v>
      </c>
      <c r="N35" s="22">
        <v>0.53611111111111109</v>
      </c>
      <c r="O35" s="20">
        <v>44</v>
      </c>
      <c r="P35" s="20">
        <v>142</v>
      </c>
      <c r="Q35" s="20" t="s">
        <v>437</v>
      </c>
      <c r="R35" s="20">
        <v>100</v>
      </c>
      <c r="S35" s="20" t="s">
        <v>11</v>
      </c>
      <c r="T35" s="20" t="s">
        <v>12</v>
      </c>
      <c r="U35" s="20" t="s">
        <v>13</v>
      </c>
      <c r="V35" s="20" t="s">
        <v>14</v>
      </c>
      <c r="W35" s="20" t="s">
        <v>15</v>
      </c>
      <c r="X35" s="20">
        <v>24282</v>
      </c>
      <c r="Y35" s="20">
        <v>171</v>
      </c>
      <c r="Z35" s="20">
        <v>4.5603999999999999E-2</v>
      </c>
      <c r="AA35" s="20">
        <v>533754</v>
      </c>
      <c r="AB35" s="20">
        <v>4.5492867500758774E-2</v>
      </c>
      <c r="AC35" s="20">
        <v>0.125</v>
      </c>
      <c r="AD35" s="20" t="s">
        <v>16</v>
      </c>
      <c r="AE35" s="20" t="s">
        <v>17</v>
      </c>
      <c r="AF35" s="20">
        <v>0</v>
      </c>
      <c r="AG35" s="20" t="s">
        <v>437</v>
      </c>
      <c r="AH35" s="20" t="s">
        <v>438</v>
      </c>
      <c r="AI35" s="20" t="s">
        <v>15</v>
      </c>
      <c r="AJ35" s="20">
        <v>-1</v>
      </c>
      <c r="AK35" s="20" t="s">
        <v>15</v>
      </c>
      <c r="AL35" s="20">
        <v>-1</v>
      </c>
      <c r="AM35" s="20" t="s">
        <v>18</v>
      </c>
      <c r="AN35">
        <v>33</v>
      </c>
    </row>
    <row r="36" spans="1:40" x14ac:dyDescent="0.25">
      <c r="A36" s="20" t="s">
        <v>7</v>
      </c>
      <c r="B36" s="21" t="s">
        <v>8</v>
      </c>
      <c r="C36" s="20" t="s">
        <v>9</v>
      </c>
      <c r="D36" s="21" t="s">
        <v>439</v>
      </c>
      <c r="E36" s="20">
        <v>2018</v>
      </c>
      <c r="F36" s="20">
        <v>2</v>
      </c>
      <c r="G36" s="20" t="s">
        <v>342</v>
      </c>
      <c r="H36" s="20" t="s">
        <v>342</v>
      </c>
      <c r="I36" s="20" t="s">
        <v>343</v>
      </c>
      <c r="J36" s="20">
        <v>4020</v>
      </c>
      <c r="K36" s="20" t="s">
        <v>436</v>
      </c>
      <c r="L36" s="20" t="s">
        <v>436</v>
      </c>
      <c r="M36" s="22">
        <v>0.44027777777777777</v>
      </c>
      <c r="N36" s="22">
        <v>0.5</v>
      </c>
      <c r="O36" s="20">
        <v>145</v>
      </c>
      <c r="P36" s="20">
        <v>165</v>
      </c>
      <c r="Q36" s="20" t="s">
        <v>440</v>
      </c>
      <c r="R36" s="20">
        <v>0</v>
      </c>
      <c r="S36" s="20" t="s">
        <v>11</v>
      </c>
      <c r="T36" s="20" t="s">
        <v>12</v>
      </c>
      <c r="U36" s="20" t="s">
        <v>13</v>
      </c>
      <c r="V36" s="20" t="s">
        <v>14</v>
      </c>
      <c r="W36" s="20" t="s">
        <v>15</v>
      </c>
      <c r="X36" s="20">
        <v>14190</v>
      </c>
      <c r="Y36" s="20">
        <v>86</v>
      </c>
      <c r="Z36" s="20">
        <v>2.665E-2</v>
      </c>
      <c r="AA36" s="20">
        <v>533754</v>
      </c>
      <c r="AB36" s="20">
        <v>2.6585280859721894E-2</v>
      </c>
      <c r="AC36" s="20">
        <v>0.20799999999999999</v>
      </c>
      <c r="AD36" s="20" t="s">
        <v>16</v>
      </c>
      <c r="AE36" s="20" t="s">
        <v>17</v>
      </c>
      <c r="AF36" s="20">
        <v>0</v>
      </c>
      <c r="AG36" s="20" t="s">
        <v>440</v>
      </c>
      <c r="AH36" s="20" t="s">
        <v>386</v>
      </c>
      <c r="AI36" s="20" t="s">
        <v>15</v>
      </c>
      <c r="AJ36" s="20">
        <v>-1</v>
      </c>
      <c r="AK36" s="20" t="s">
        <v>15</v>
      </c>
      <c r="AL36" s="20">
        <v>-1</v>
      </c>
      <c r="AM36" s="20" t="s">
        <v>441</v>
      </c>
      <c r="AN36">
        <v>34</v>
      </c>
    </row>
    <row r="37" spans="1:40" x14ac:dyDescent="0.25">
      <c r="A37" s="20" t="s">
        <v>7</v>
      </c>
      <c r="B37" s="21" t="s">
        <v>8</v>
      </c>
      <c r="C37" s="20" t="s">
        <v>9</v>
      </c>
      <c r="D37" s="21" t="s">
        <v>442</v>
      </c>
      <c r="E37" s="20">
        <v>2018</v>
      </c>
      <c r="F37" s="20">
        <v>2</v>
      </c>
      <c r="G37" s="20" t="s">
        <v>342</v>
      </c>
      <c r="H37" s="20" t="s">
        <v>342</v>
      </c>
      <c r="I37" s="20" t="s">
        <v>366</v>
      </c>
      <c r="J37" s="20">
        <v>4060</v>
      </c>
      <c r="K37" s="20" t="s">
        <v>443</v>
      </c>
      <c r="L37" s="20" t="s">
        <v>444</v>
      </c>
      <c r="M37" s="22">
        <v>0.95486111111111116</v>
      </c>
      <c r="N37" s="22">
        <v>0</v>
      </c>
      <c r="O37" s="20">
        <v>125</v>
      </c>
      <c r="P37" s="20">
        <v>112</v>
      </c>
      <c r="Q37" s="20" t="s">
        <v>445</v>
      </c>
      <c r="R37" s="20">
        <v>0</v>
      </c>
      <c r="S37" s="20" t="s">
        <v>11</v>
      </c>
      <c r="T37" s="20" t="s">
        <v>19</v>
      </c>
      <c r="U37" s="20" t="s">
        <v>13</v>
      </c>
      <c r="V37" s="20" t="s">
        <v>14</v>
      </c>
      <c r="W37" s="20" t="s">
        <v>15</v>
      </c>
      <c r="X37" s="20">
        <v>7280</v>
      </c>
      <c r="Y37" s="20">
        <v>65</v>
      </c>
      <c r="Z37" s="20">
        <v>1.3672E-2</v>
      </c>
      <c r="AA37" s="20">
        <v>533754</v>
      </c>
      <c r="AB37" s="20">
        <v>1.363924204783477E-2</v>
      </c>
      <c r="AC37" s="20">
        <v>0.13500000000000001</v>
      </c>
      <c r="AD37" s="20" t="s">
        <v>16</v>
      </c>
      <c r="AE37" s="20" t="s">
        <v>17</v>
      </c>
      <c r="AF37" s="20">
        <v>0</v>
      </c>
      <c r="AG37" s="20" t="s">
        <v>445</v>
      </c>
      <c r="AH37" s="20" t="s">
        <v>446</v>
      </c>
      <c r="AI37" s="20" t="s">
        <v>15</v>
      </c>
      <c r="AJ37" s="20">
        <v>-1</v>
      </c>
      <c r="AK37" s="20" t="s">
        <v>15</v>
      </c>
      <c r="AL37" s="20">
        <v>-1</v>
      </c>
      <c r="AM37" s="20" t="s">
        <v>447</v>
      </c>
      <c r="AN37">
        <v>35</v>
      </c>
    </row>
    <row r="38" spans="1:40" x14ac:dyDescent="0.25">
      <c r="A38" s="20" t="s">
        <v>7</v>
      </c>
      <c r="B38" s="21" t="s">
        <v>8</v>
      </c>
      <c r="C38" s="20" t="s">
        <v>9</v>
      </c>
      <c r="D38" s="21" t="s">
        <v>448</v>
      </c>
      <c r="E38" s="20">
        <v>2018</v>
      </c>
      <c r="F38" s="20">
        <v>2</v>
      </c>
      <c r="G38" s="20" t="s">
        <v>449</v>
      </c>
      <c r="H38" s="20" t="s">
        <v>10</v>
      </c>
      <c r="I38" s="20" t="s">
        <v>450</v>
      </c>
      <c r="J38" s="20">
        <v>4012</v>
      </c>
      <c r="K38" s="20" t="s">
        <v>444</v>
      </c>
      <c r="L38" s="20" t="s">
        <v>444</v>
      </c>
      <c r="M38" s="22">
        <v>0.3215277777777778</v>
      </c>
      <c r="N38" s="22">
        <v>0.54375000000000007</v>
      </c>
      <c r="O38" s="20">
        <v>55</v>
      </c>
      <c r="P38" s="20">
        <v>43</v>
      </c>
      <c r="Q38" s="20" t="s">
        <v>451</v>
      </c>
      <c r="R38" s="20">
        <v>100</v>
      </c>
      <c r="S38" s="20" t="s">
        <v>11</v>
      </c>
      <c r="T38" s="20" t="s">
        <v>12</v>
      </c>
      <c r="U38" s="20" t="s">
        <v>13</v>
      </c>
      <c r="V38" s="20" t="s">
        <v>14</v>
      </c>
      <c r="W38" s="20" t="s">
        <v>15</v>
      </c>
      <c r="X38" s="20">
        <v>13760</v>
      </c>
      <c r="Y38" s="20">
        <v>320</v>
      </c>
      <c r="Z38" s="20">
        <v>2.5842E-2</v>
      </c>
      <c r="AA38" s="20">
        <v>533754</v>
      </c>
      <c r="AB38" s="20">
        <v>2.577966628821517E-2</v>
      </c>
      <c r="AC38" s="20">
        <v>0.29299999999999998</v>
      </c>
      <c r="AD38" s="20" t="s">
        <v>16</v>
      </c>
      <c r="AE38" s="20" t="s">
        <v>17</v>
      </c>
      <c r="AF38" s="20">
        <v>0</v>
      </c>
      <c r="AG38" s="20" t="s">
        <v>451</v>
      </c>
      <c r="AH38" s="20" t="s">
        <v>452</v>
      </c>
      <c r="AI38" s="20" t="s">
        <v>15</v>
      </c>
      <c r="AJ38" s="20">
        <v>-1</v>
      </c>
      <c r="AK38" s="20" t="s">
        <v>15</v>
      </c>
      <c r="AL38" s="20">
        <v>-1</v>
      </c>
      <c r="AM38" s="20" t="s">
        <v>453</v>
      </c>
      <c r="AN38">
        <v>36</v>
      </c>
    </row>
    <row r="39" spans="1:40" x14ac:dyDescent="0.25">
      <c r="A39" s="20" t="s">
        <v>7</v>
      </c>
      <c r="B39" s="21" t="s">
        <v>8</v>
      </c>
      <c r="C39" s="20" t="s">
        <v>9</v>
      </c>
      <c r="D39" s="21" t="s">
        <v>219</v>
      </c>
      <c r="E39" s="20">
        <v>2018</v>
      </c>
      <c r="F39" s="20">
        <v>2</v>
      </c>
      <c r="G39" s="20" t="s">
        <v>9</v>
      </c>
      <c r="H39" s="20" t="s">
        <v>10</v>
      </c>
      <c r="I39" s="20" t="s">
        <v>214</v>
      </c>
      <c r="J39" s="20">
        <v>4020</v>
      </c>
      <c r="K39" s="20" t="s">
        <v>50</v>
      </c>
      <c r="L39" s="20" t="s">
        <v>50</v>
      </c>
      <c r="M39" s="22">
        <v>0.49305555555555558</v>
      </c>
      <c r="N39" s="22">
        <v>0.60416666666666663</v>
      </c>
      <c r="O39" s="20">
        <v>35</v>
      </c>
      <c r="P39" s="20">
        <v>56</v>
      </c>
      <c r="Q39" s="20" t="s">
        <v>220</v>
      </c>
      <c r="R39" s="20">
        <v>100</v>
      </c>
      <c r="S39" s="20" t="s">
        <v>23</v>
      </c>
      <c r="T39" s="20" t="s">
        <v>12</v>
      </c>
      <c r="U39" s="20" t="s">
        <v>13</v>
      </c>
      <c r="V39" s="20" t="s">
        <v>14</v>
      </c>
      <c r="W39" s="20" t="s">
        <v>15</v>
      </c>
      <c r="X39" s="20">
        <v>8960</v>
      </c>
      <c r="Y39" s="20">
        <v>160</v>
      </c>
      <c r="Z39" s="20">
        <v>1.6827999999999999E-2</v>
      </c>
      <c r="AA39" s="20">
        <v>533754</v>
      </c>
      <c r="AB39" s="20">
        <v>1.6786759443488949E-2</v>
      </c>
      <c r="AC39" s="20">
        <v>9.2999999999999999E-2</v>
      </c>
      <c r="AD39" s="20" t="s">
        <v>16</v>
      </c>
      <c r="AE39" s="20" t="s">
        <v>17</v>
      </c>
      <c r="AF39" s="20">
        <v>0</v>
      </c>
      <c r="AG39" s="20" t="s">
        <v>220</v>
      </c>
      <c r="AH39" s="20" t="s">
        <v>221</v>
      </c>
      <c r="AI39" s="20" t="s">
        <v>15</v>
      </c>
      <c r="AJ39" s="20">
        <v>-1</v>
      </c>
      <c r="AK39" s="20" t="s">
        <v>15</v>
      </c>
      <c r="AL39" s="20">
        <v>-1</v>
      </c>
      <c r="AM39" s="20" t="s">
        <v>18</v>
      </c>
      <c r="AN39">
        <v>37</v>
      </c>
    </row>
    <row r="40" spans="1:40" x14ac:dyDescent="0.25">
      <c r="A40" s="20" t="s">
        <v>7</v>
      </c>
      <c r="B40" s="21" t="s">
        <v>8</v>
      </c>
      <c r="C40" s="20" t="s">
        <v>9</v>
      </c>
      <c r="D40" s="21" t="s">
        <v>454</v>
      </c>
      <c r="E40" s="20">
        <v>2018</v>
      </c>
      <c r="F40" s="20">
        <v>2</v>
      </c>
      <c r="G40" s="20" t="s">
        <v>329</v>
      </c>
      <c r="H40" s="20" t="s">
        <v>10</v>
      </c>
      <c r="I40" s="20" t="s">
        <v>376</v>
      </c>
      <c r="J40" s="20">
        <v>4030</v>
      </c>
      <c r="K40" s="20" t="s">
        <v>50</v>
      </c>
      <c r="L40" s="20" t="s">
        <v>50</v>
      </c>
      <c r="M40" s="22">
        <v>0.6020833333333333</v>
      </c>
      <c r="N40" s="22">
        <v>0.63888888888888895</v>
      </c>
      <c r="O40" s="20">
        <v>500</v>
      </c>
      <c r="P40" s="20">
        <v>5</v>
      </c>
      <c r="Q40" s="20" t="s">
        <v>455</v>
      </c>
      <c r="R40" s="20">
        <v>100</v>
      </c>
      <c r="S40" s="20" t="s">
        <v>433</v>
      </c>
      <c r="T40" s="20" t="s">
        <v>19</v>
      </c>
      <c r="U40" s="20" t="s">
        <v>13</v>
      </c>
      <c r="V40" s="20" t="s">
        <v>14</v>
      </c>
      <c r="W40" s="20" t="s">
        <v>15</v>
      </c>
      <c r="X40" s="20">
        <v>265</v>
      </c>
      <c r="Y40" s="20">
        <v>53</v>
      </c>
      <c r="Z40" s="20">
        <v>4.9799999999999996E-4</v>
      </c>
      <c r="AA40" s="20">
        <v>533754</v>
      </c>
      <c r="AB40" s="20">
        <v>4.9648339871926023E-4</v>
      </c>
      <c r="AC40" s="20">
        <v>0.442</v>
      </c>
      <c r="AD40" s="20" t="s">
        <v>16</v>
      </c>
      <c r="AE40" s="20" t="s">
        <v>17</v>
      </c>
      <c r="AF40" s="20">
        <v>0</v>
      </c>
      <c r="AG40" s="20" t="s">
        <v>455</v>
      </c>
      <c r="AH40" s="20" t="s">
        <v>434</v>
      </c>
      <c r="AI40" s="20" t="s">
        <v>15</v>
      </c>
      <c r="AJ40" s="20">
        <v>-1</v>
      </c>
      <c r="AK40" s="20" t="s">
        <v>15</v>
      </c>
      <c r="AL40" s="20">
        <v>-1</v>
      </c>
      <c r="AM40" s="20" t="s">
        <v>18</v>
      </c>
      <c r="AN40">
        <v>38</v>
      </c>
    </row>
    <row r="41" spans="1:40" x14ac:dyDescent="0.25">
      <c r="A41" s="20" t="s">
        <v>7</v>
      </c>
      <c r="B41" s="21" t="s">
        <v>8</v>
      </c>
      <c r="C41" s="20" t="s">
        <v>9</v>
      </c>
      <c r="D41" s="21" t="s">
        <v>456</v>
      </c>
      <c r="E41" s="20">
        <v>2018</v>
      </c>
      <c r="F41" s="20">
        <v>2</v>
      </c>
      <c r="G41" s="20" t="s">
        <v>329</v>
      </c>
      <c r="H41" s="20" t="s">
        <v>10</v>
      </c>
      <c r="I41" s="20" t="s">
        <v>352</v>
      </c>
      <c r="J41" s="20">
        <v>4030</v>
      </c>
      <c r="K41" s="20" t="s">
        <v>50</v>
      </c>
      <c r="L41" s="20" t="s">
        <v>50</v>
      </c>
      <c r="M41" s="22">
        <v>0.6743055555555556</v>
      </c>
      <c r="N41" s="22">
        <v>0.76388888888888884</v>
      </c>
      <c r="O41" s="20">
        <v>72</v>
      </c>
      <c r="P41" s="20">
        <v>139</v>
      </c>
      <c r="Q41" s="20" t="s">
        <v>457</v>
      </c>
      <c r="R41" s="20">
        <v>100</v>
      </c>
      <c r="S41" s="20" t="s">
        <v>11</v>
      </c>
      <c r="T41" s="20" t="s">
        <v>12</v>
      </c>
      <c r="U41" s="20" t="s">
        <v>13</v>
      </c>
      <c r="V41" s="20" t="s">
        <v>14</v>
      </c>
      <c r="W41" s="20" t="s">
        <v>15</v>
      </c>
      <c r="X41" s="20">
        <v>17931</v>
      </c>
      <c r="Y41" s="20">
        <v>129</v>
      </c>
      <c r="Z41" s="20">
        <v>3.3675999999999998E-2</v>
      </c>
      <c r="AA41" s="20">
        <v>533754</v>
      </c>
      <c r="AB41" s="20">
        <v>3.3594127631830395E-2</v>
      </c>
      <c r="AC41" s="20">
        <v>0.155</v>
      </c>
      <c r="AD41" s="20" t="s">
        <v>16</v>
      </c>
      <c r="AE41" s="20" t="s">
        <v>17</v>
      </c>
      <c r="AF41" s="20">
        <v>0</v>
      </c>
      <c r="AG41" s="20" t="s">
        <v>457</v>
      </c>
      <c r="AH41" s="20" t="s">
        <v>458</v>
      </c>
      <c r="AI41" s="20" t="s">
        <v>15</v>
      </c>
      <c r="AJ41" s="20">
        <v>-1</v>
      </c>
      <c r="AK41" s="20" t="s">
        <v>15</v>
      </c>
      <c r="AL41" s="20">
        <v>-1</v>
      </c>
      <c r="AM41" s="20" t="s">
        <v>459</v>
      </c>
      <c r="AN41">
        <v>39</v>
      </c>
    </row>
    <row r="42" spans="1:40" x14ac:dyDescent="0.25">
      <c r="A42" s="20" t="s">
        <v>7</v>
      </c>
      <c r="B42" s="21" t="s">
        <v>8</v>
      </c>
      <c r="C42" s="20" t="s">
        <v>9</v>
      </c>
      <c r="D42" s="21" t="s">
        <v>460</v>
      </c>
      <c r="E42" s="20">
        <v>2018</v>
      </c>
      <c r="F42" s="20">
        <v>2</v>
      </c>
      <c r="G42" s="20" t="s">
        <v>342</v>
      </c>
      <c r="H42" s="20" t="s">
        <v>342</v>
      </c>
      <c r="I42" s="20" t="s">
        <v>343</v>
      </c>
      <c r="J42" s="20">
        <v>4010</v>
      </c>
      <c r="K42" s="20" t="s">
        <v>461</v>
      </c>
      <c r="L42" s="20" t="s">
        <v>461</v>
      </c>
      <c r="M42" s="22">
        <v>0.84583333333333333</v>
      </c>
      <c r="N42" s="22">
        <v>0.98958333333333337</v>
      </c>
      <c r="O42" s="20">
        <v>50</v>
      </c>
      <c r="P42" s="20">
        <v>52</v>
      </c>
      <c r="Q42" s="20" t="s">
        <v>462</v>
      </c>
      <c r="R42" s="20">
        <v>0</v>
      </c>
      <c r="S42" s="20" t="s">
        <v>11</v>
      </c>
      <c r="T42" s="20" t="s">
        <v>12</v>
      </c>
      <c r="U42" s="20" t="s">
        <v>13</v>
      </c>
      <c r="V42" s="20" t="s">
        <v>14</v>
      </c>
      <c r="W42" s="20" t="s">
        <v>15</v>
      </c>
      <c r="X42" s="20">
        <v>10764</v>
      </c>
      <c r="Y42" s="20">
        <v>207</v>
      </c>
      <c r="Z42" s="20">
        <v>2.0216000000000001E-2</v>
      </c>
      <c r="AA42" s="20">
        <v>533754</v>
      </c>
      <c r="AB42" s="20">
        <v>2.0166593599298552E-2</v>
      </c>
      <c r="AC42" s="20">
        <v>0.17199999999999999</v>
      </c>
      <c r="AD42" s="20" t="s">
        <v>16</v>
      </c>
      <c r="AE42" s="20" t="s">
        <v>17</v>
      </c>
      <c r="AF42" s="20">
        <v>0</v>
      </c>
      <c r="AG42" s="20" t="s">
        <v>462</v>
      </c>
      <c r="AH42" s="20" t="s">
        <v>45</v>
      </c>
      <c r="AI42" s="20" t="s">
        <v>15</v>
      </c>
      <c r="AJ42" s="20">
        <v>-1</v>
      </c>
      <c r="AK42" s="20" t="s">
        <v>15</v>
      </c>
      <c r="AL42" s="20">
        <v>-1</v>
      </c>
      <c r="AM42" s="20" t="s">
        <v>463</v>
      </c>
      <c r="AN42">
        <v>40</v>
      </c>
    </row>
    <row r="43" spans="1:40" x14ac:dyDescent="0.25">
      <c r="A43" s="20" t="s">
        <v>7</v>
      </c>
      <c r="B43" s="21" t="s">
        <v>8</v>
      </c>
      <c r="C43" s="20" t="s">
        <v>9</v>
      </c>
      <c r="D43" s="21" t="s">
        <v>464</v>
      </c>
      <c r="E43" s="20">
        <v>2018</v>
      </c>
      <c r="F43" s="20">
        <v>2</v>
      </c>
      <c r="G43" s="20" t="s">
        <v>342</v>
      </c>
      <c r="H43" s="20" t="s">
        <v>342</v>
      </c>
      <c r="I43" s="20" t="s">
        <v>343</v>
      </c>
      <c r="J43" s="20">
        <v>4010</v>
      </c>
      <c r="K43" s="20" t="s">
        <v>465</v>
      </c>
      <c r="L43" s="20" t="s">
        <v>466</v>
      </c>
      <c r="M43" s="22">
        <v>0.97291666666666676</v>
      </c>
      <c r="N43" s="22">
        <v>0.12430555555555556</v>
      </c>
      <c r="O43" s="20">
        <v>50</v>
      </c>
      <c r="P43" s="20">
        <v>82</v>
      </c>
      <c r="Q43" s="20" t="s">
        <v>467</v>
      </c>
      <c r="R43" s="20">
        <v>0</v>
      </c>
      <c r="S43" s="20" t="s">
        <v>11</v>
      </c>
      <c r="T43" s="20" t="s">
        <v>19</v>
      </c>
      <c r="U43" s="20" t="s">
        <v>13</v>
      </c>
      <c r="V43" s="20" t="s">
        <v>14</v>
      </c>
      <c r="W43" s="20" t="s">
        <v>15</v>
      </c>
      <c r="X43" s="20">
        <v>17876</v>
      </c>
      <c r="Y43" s="20">
        <v>218</v>
      </c>
      <c r="Z43" s="20">
        <v>3.3572999999999999E-2</v>
      </c>
      <c r="AA43" s="20">
        <v>533754</v>
      </c>
      <c r="AB43" s="20">
        <v>3.3491083907567908E-2</v>
      </c>
      <c r="AC43" s="20">
        <v>0.182</v>
      </c>
      <c r="AD43" s="20" t="s">
        <v>16</v>
      </c>
      <c r="AE43" s="20" t="s">
        <v>17</v>
      </c>
      <c r="AF43" s="20">
        <v>0</v>
      </c>
      <c r="AG43" s="20" t="s">
        <v>467</v>
      </c>
      <c r="AH43" s="20" t="s">
        <v>217</v>
      </c>
      <c r="AI43" s="20" t="s">
        <v>15</v>
      </c>
      <c r="AJ43" s="20">
        <v>-1</v>
      </c>
      <c r="AK43" s="20" t="s">
        <v>15</v>
      </c>
      <c r="AL43" s="20">
        <v>-1</v>
      </c>
      <c r="AM43" s="20" t="s">
        <v>468</v>
      </c>
      <c r="AN43">
        <v>41</v>
      </c>
    </row>
    <row r="44" spans="1:40" x14ac:dyDescent="0.25">
      <c r="A44" s="20" t="s">
        <v>7</v>
      </c>
      <c r="B44" s="21" t="s">
        <v>8</v>
      </c>
      <c r="C44" s="20" t="s">
        <v>9</v>
      </c>
      <c r="D44" s="21" t="s">
        <v>469</v>
      </c>
      <c r="E44" s="20">
        <v>2018</v>
      </c>
      <c r="F44" s="20">
        <v>2</v>
      </c>
      <c r="G44" s="20" t="s">
        <v>329</v>
      </c>
      <c r="H44" s="20" t="s">
        <v>10</v>
      </c>
      <c r="I44" s="20" t="s">
        <v>352</v>
      </c>
      <c r="J44" s="20">
        <v>5010</v>
      </c>
      <c r="K44" s="20" t="s">
        <v>470</v>
      </c>
      <c r="L44" s="20" t="s">
        <v>470</v>
      </c>
      <c r="M44" s="22">
        <v>0.46249999999999997</v>
      </c>
      <c r="N44" s="22">
        <v>0.85625000000000007</v>
      </c>
      <c r="O44" s="20">
        <v>46</v>
      </c>
      <c r="P44" s="20">
        <v>59</v>
      </c>
      <c r="Q44" s="20" t="s">
        <v>471</v>
      </c>
      <c r="R44" s="20">
        <v>100</v>
      </c>
      <c r="S44" s="20" t="s">
        <v>11</v>
      </c>
      <c r="T44" s="20" t="s">
        <v>19</v>
      </c>
      <c r="U44" s="20" t="s">
        <v>13</v>
      </c>
      <c r="V44" s="20" t="s">
        <v>14</v>
      </c>
      <c r="W44" s="20" t="s">
        <v>15</v>
      </c>
      <c r="X44" s="20">
        <v>33453</v>
      </c>
      <c r="Y44" s="20">
        <v>567</v>
      </c>
      <c r="Z44" s="20">
        <v>6.2827999999999995E-2</v>
      </c>
      <c r="AA44" s="20">
        <v>533754</v>
      </c>
      <c r="AB44" s="20">
        <v>6.2674940140963808E-2</v>
      </c>
      <c r="AC44" s="20">
        <v>0.435</v>
      </c>
      <c r="AD44" s="20" t="s">
        <v>16</v>
      </c>
      <c r="AE44" s="20" t="s">
        <v>17</v>
      </c>
      <c r="AF44" s="20">
        <v>0</v>
      </c>
      <c r="AG44" s="20" t="s">
        <v>471</v>
      </c>
      <c r="AH44" s="20" t="s">
        <v>345</v>
      </c>
      <c r="AI44" s="20" t="s">
        <v>15</v>
      </c>
      <c r="AJ44" s="20">
        <v>-1</v>
      </c>
      <c r="AK44" s="20" t="s">
        <v>15</v>
      </c>
      <c r="AL44" s="20">
        <v>-1</v>
      </c>
      <c r="AM44" s="20" t="s">
        <v>472</v>
      </c>
      <c r="AN44">
        <v>42</v>
      </c>
    </row>
    <row r="45" spans="1:40" x14ac:dyDescent="0.25">
      <c r="A45" s="20" t="s">
        <v>7</v>
      </c>
      <c r="B45" s="21" t="s">
        <v>8</v>
      </c>
      <c r="C45" s="20" t="s">
        <v>9</v>
      </c>
      <c r="D45" s="21" t="s">
        <v>473</v>
      </c>
      <c r="E45" s="20">
        <v>2018</v>
      </c>
      <c r="F45" s="20">
        <v>2</v>
      </c>
      <c r="G45" s="20" t="s">
        <v>329</v>
      </c>
      <c r="H45" s="20" t="s">
        <v>10</v>
      </c>
      <c r="I45" s="20" t="s">
        <v>352</v>
      </c>
      <c r="J45" s="20">
        <v>4010</v>
      </c>
      <c r="K45" s="20" t="s">
        <v>470</v>
      </c>
      <c r="L45" s="20" t="s">
        <v>470</v>
      </c>
      <c r="M45" s="22">
        <v>0.29930555555555555</v>
      </c>
      <c r="N45" s="22">
        <v>0.80694444444444446</v>
      </c>
      <c r="O45" s="20">
        <v>26</v>
      </c>
      <c r="P45" s="20">
        <v>34</v>
      </c>
      <c r="Q45" s="20" t="s">
        <v>474</v>
      </c>
      <c r="R45" s="20">
        <v>100</v>
      </c>
      <c r="S45" s="20" t="s">
        <v>11</v>
      </c>
      <c r="T45" s="20" t="s">
        <v>12</v>
      </c>
      <c r="U45" s="20" t="s">
        <v>13</v>
      </c>
      <c r="V45" s="20" t="s">
        <v>14</v>
      </c>
      <c r="W45" s="20" t="s">
        <v>15</v>
      </c>
      <c r="X45" s="20">
        <v>24854</v>
      </c>
      <c r="Y45" s="20">
        <v>731</v>
      </c>
      <c r="Z45" s="20">
        <v>4.6677999999999997E-2</v>
      </c>
      <c r="AA45" s="20">
        <v>533754</v>
      </c>
      <c r="AB45" s="20">
        <v>4.656452223308865E-2</v>
      </c>
      <c r="AC45" s="20">
        <v>0.317</v>
      </c>
      <c r="AD45" s="20" t="s">
        <v>16</v>
      </c>
      <c r="AE45" s="20" t="s">
        <v>17</v>
      </c>
      <c r="AF45" s="20">
        <v>0</v>
      </c>
      <c r="AG45" s="20" t="s">
        <v>474</v>
      </c>
      <c r="AH45" s="20" t="s">
        <v>458</v>
      </c>
      <c r="AI45" s="20" t="s">
        <v>15</v>
      </c>
      <c r="AJ45" s="20">
        <v>-1</v>
      </c>
      <c r="AK45" s="20" t="s">
        <v>15</v>
      </c>
      <c r="AL45" s="20">
        <v>-1</v>
      </c>
      <c r="AM45" s="20" t="s">
        <v>475</v>
      </c>
      <c r="AN45">
        <v>43</v>
      </c>
    </row>
    <row r="46" spans="1:40" x14ac:dyDescent="0.25">
      <c r="A46" s="20" t="s">
        <v>7</v>
      </c>
      <c r="B46" s="21" t="s">
        <v>8</v>
      </c>
      <c r="C46" s="20" t="s">
        <v>9</v>
      </c>
      <c r="D46" s="21" t="s">
        <v>476</v>
      </c>
      <c r="E46" s="20">
        <v>2018</v>
      </c>
      <c r="F46" s="20">
        <v>2</v>
      </c>
      <c r="G46" s="20" t="s">
        <v>342</v>
      </c>
      <c r="H46" s="20" t="s">
        <v>342</v>
      </c>
      <c r="I46" s="20" t="s">
        <v>361</v>
      </c>
      <c r="J46" s="20">
        <v>4050</v>
      </c>
      <c r="K46" s="20" t="s">
        <v>477</v>
      </c>
      <c r="L46" s="20" t="s">
        <v>477</v>
      </c>
      <c r="M46" s="22">
        <v>0.65972222222222221</v>
      </c>
      <c r="N46" s="22">
        <v>0.72222222222222221</v>
      </c>
      <c r="O46" s="20">
        <v>60</v>
      </c>
      <c r="P46" s="20">
        <v>106</v>
      </c>
      <c r="Q46" s="20" t="s">
        <v>478</v>
      </c>
      <c r="R46" s="20">
        <v>0</v>
      </c>
      <c r="S46" s="20" t="s">
        <v>11</v>
      </c>
      <c r="T46" s="20" t="s">
        <v>12</v>
      </c>
      <c r="U46" s="20" t="s">
        <v>13</v>
      </c>
      <c r="V46" s="20" t="s">
        <v>14</v>
      </c>
      <c r="W46" s="20" t="s">
        <v>15</v>
      </c>
      <c r="X46" s="20">
        <v>9540</v>
      </c>
      <c r="Y46" s="20">
        <v>90</v>
      </c>
      <c r="Z46" s="20">
        <v>1.7916999999999999E-2</v>
      </c>
      <c r="AA46" s="20">
        <v>533754</v>
      </c>
      <c r="AB46" s="20">
        <v>1.7873402353893366E-2</v>
      </c>
      <c r="AC46" s="20">
        <v>0.09</v>
      </c>
      <c r="AD46" s="20" t="s">
        <v>16</v>
      </c>
      <c r="AE46" s="20" t="s">
        <v>17</v>
      </c>
      <c r="AF46" s="20">
        <v>0</v>
      </c>
      <c r="AG46" s="20" t="s">
        <v>478</v>
      </c>
      <c r="AH46" s="20" t="s">
        <v>479</v>
      </c>
      <c r="AI46" s="20" t="s">
        <v>15</v>
      </c>
      <c r="AJ46" s="20">
        <v>-1</v>
      </c>
      <c r="AK46" s="20" t="s">
        <v>15</v>
      </c>
      <c r="AL46" s="20">
        <v>-1</v>
      </c>
      <c r="AM46" s="20" t="s">
        <v>480</v>
      </c>
      <c r="AN46">
        <v>44</v>
      </c>
    </row>
    <row r="47" spans="1:40" x14ac:dyDescent="0.25">
      <c r="A47" s="20" t="s">
        <v>7</v>
      </c>
      <c r="B47" s="21" t="s">
        <v>8</v>
      </c>
      <c r="C47" s="20" t="s">
        <v>9</v>
      </c>
      <c r="D47" s="21" t="s">
        <v>481</v>
      </c>
      <c r="E47" s="20">
        <v>2018</v>
      </c>
      <c r="F47" s="20">
        <v>2</v>
      </c>
      <c r="G47" s="20" t="s">
        <v>329</v>
      </c>
      <c r="H47" s="20" t="s">
        <v>10</v>
      </c>
      <c r="I47" s="20" t="s">
        <v>352</v>
      </c>
      <c r="J47" s="20">
        <v>5010</v>
      </c>
      <c r="K47" s="20" t="s">
        <v>477</v>
      </c>
      <c r="L47" s="20" t="s">
        <v>477</v>
      </c>
      <c r="M47" s="22">
        <v>0.6958333333333333</v>
      </c>
      <c r="N47" s="22">
        <v>0.72361111111111109</v>
      </c>
      <c r="O47" s="20">
        <v>20</v>
      </c>
      <c r="P47" s="20">
        <v>20</v>
      </c>
      <c r="Q47" s="20" t="s">
        <v>482</v>
      </c>
      <c r="R47" s="20">
        <v>100</v>
      </c>
      <c r="S47" s="20" t="s">
        <v>11</v>
      </c>
      <c r="T47" s="20" t="s">
        <v>19</v>
      </c>
      <c r="U47" s="20" t="s">
        <v>13</v>
      </c>
      <c r="V47" s="20" t="s">
        <v>14</v>
      </c>
      <c r="W47" s="20" t="s">
        <v>15</v>
      </c>
      <c r="X47" s="20">
        <v>800</v>
      </c>
      <c r="Y47" s="20">
        <v>40</v>
      </c>
      <c r="Z47" s="20">
        <v>1.5020000000000001E-3</v>
      </c>
      <c r="AA47" s="20">
        <v>533754</v>
      </c>
      <c r="AB47" s="20">
        <v>1.4988178074543705E-3</v>
      </c>
      <c r="AC47" s="20">
        <v>1.2999999999999999E-2</v>
      </c>
      <c r="AD47" s="20" t="s">
        <v>16</v>
      </c>
      <c r="AE47" s="20" t="s">
        <v>17</v>
      </c>
      <c r="AF47" s="20">
        <v>0</v>
      </c>
      <c r="AG47" s="20" t="s">
        <v>482</v>
      </c>
      <c r="AH47" s="20" t="s">
        <v>458</v>
      </c>
      <c r="AI47" s="20" t="s">
        <v>15</v>
      </c>
      <c r="AJ47" s="20">
        <v>-1</v>
      </c>
      <c r="AK47" s="20" t="s">
        <v>15</v>
      </c>
      <c r="AL47" s="20">
        <v>-1</v>
      </c>
      <c r="AM47" s="20" t="s">
        <v>18</v>
      </c>
      <c r="AN47">
        <v>45</v>
      </c>
    </row>
    <row r="48" spans="1:40" x14ac:dyDescent="0.25">
      <c r="A48" s="20" t="s">
        <v>7</v>
      </c>
      <c r="B48" s="21" t="s">
        <v>8</v>
      </c>
      <c r="C48" s="20" t="s">
        <v>9</v>
      </c>
      <c r="D48" s="21" t="s">
        <v>483</v>
      </c>
      <c r="E48" s="20">
        <v>2018</v>
      </c>
      <c r="F48" s="20">
        <v>2</v>
      </c>
      <c r="G48" s="20" t="s">
        <v>323</v>
      </c>
      <c r="H48" s="20" t="s">
        <v>10</v>
      </c>
      <c r="I48" s="20" t="s">
        <v>324</v>
      </c>
      <c r="J48" s="20">
        <v>4050</v>
      </c>
      <c r="K48" s="20" t="s">
        <v>484</v>
      </c>
      <c r="L48" s="20" t="s">
        <v>484</v>
      </c>
      <c r="M48" s="22">
        <v>0.34375</v>
      </c>
      <c r="N48" s="22">
        <v>0.46527777777777773</v>
      </c>
      <c r="O48" s="20">
        <v>140</v>
      </c>
      <c r="P48" s="20">
        <v>8</v>
      </c>
      <c r="Q48" s="20" t="s">
        <v>485</v>
      </c>
      <c r="R48" s="20">
        <v>100</v>
      </c>
      <c r="S48" s="20" t="s">
        <v>11</v>
      </c>
      <c r="T48" s="20" t="s">
        <v>12</v>
      </c>
      <c r="U48" s="20" t="s">
        <v>13</v>
      </c>
      <c r="V48" s="20" t="s">
        <v>14</v>
      </c>
      <c r="W48" s="20" t="s">
        <v>15</v>
      </c>
      <c r="X48" s="20">
        <v>1400</v>
      </c>
      <c r="Y48" s="20">
        <v>175</v>
      </c>
      <c r="Z48" s="20">
        <v>2.6289999999999998E-3</v>
      </c>
      <c r="AA48" s="20">
        <v>533754</v>
      </c>
      <c r="AB48" s="20">
        <v>2.6229311630451483E-3</v>
      </c>
      <c r="AC48" s="20">
        <v>0.40799999999999997</v>
      </c>
      <c r="AD48" s="20" t="s">
        <v>16</v>
      </c>
      <c r="AE48" s="20" t="s">
        <v>17</v>
      </c>
      <c r="AF48" s="20">
        <v>0</v>
      </c>
      <c r="AG48" s="20" t="s">
        <v>485</v>
      </c>
      <c r="AH48" s="20" t="s">
        <v>486</v>
      </c>
      <c r="AI48" s="20" t="s">
        <v>15</v>
      </c>
      <c r="AJ48" s="20">
        <v>-1</v>
      </c>
      <c r="AK48" s="20" t="s">
        <v>15</v>
      </c>
      <c r="AL48" s="20">
        <v>-1</v>
      </c>
      <c r="AM48" s="20" t="s">
        <v>487</v>
      </c>
      <c r="AN48">
        <v>46</v>
      </c>
    </row>
    <row r="49" spans="1:40" x14ac:dyDescent="0.25">
      <c r="A49" s="20" t="s">
        <v>7</v>
      </c>
      <c r="B49" s="21" t="s">
        <v>8</v>
      </c>
      <c r="C49" s="20" t="s">
        <v>9</v>
      </c>
      <c r="D49" s="21" t="s">
        <v>488</v>
      </c>
      <c r="E49" s="20">
        <v>2018</v>
      </c>
      <c r="F49" s="20">
        <v>2</v>
      </c>
      <c r="G49" s="20" t="s">
        <v>323</v>
      </c>
      <c r="H49" s="20" t="s">
        <v>10</v>
      </c>
      <c r="I49" s="20" t="s">
        <v>489</v>
      </c>
      <c r="J49" s="20">
        <v>4020</v>
      </c>
      <c r="K49" s="20" t="s">
        <v>484</v>
      </c>
      <c r="L49" s="20" t="s">
        <v>490</v>
      </c>
      <c r="M49" s="22">
        <v>0.56805555555555554</v>
      </c>
      <c r="N49" s="22">
        <v>0.60555555555555551</v>
      </c>
      <c r="O49" s="20">
        <v>9</v>
      </c>
      <c r="P49" s="20">
        <v>5</v>
      </c>
      <c r="Q49" s="20" t="s">
        <v>491</v>
      </c>
      <c r="R49" s="20">
        <v>100</v>
      </c>
      <c r="S49" s="20" t="s">
        <v>11</v>
      </c>
      <c r="T49" s="20" t="s">
        <v>19</v>
      </c>
      <c r="U49" s="20" t="s">
        <v>13</v>
      </c>
      <c r="V49" s="20" t="s">
        <v>14</v>
      </c>
      <c r="W49" s="20" t="s">
        <v>15</v>
      </c>
      <c r="X49" s="20">
        <v>14670</v>
      </c>
      <c r="Y49" s="20">
        <v>2934</v>
      </c>
      <c r="Z49" s="20">
        <v>2.7552E-2</v>
      </c>
      <c r="AA49" s="20">
        <v>533754</v>
      </c>
      <c r="AB49" s="20">
        <v>2.7484571544194515E-2</v>
      </c>
      <c r="AC49" s="20">
        <v>0.44</v>
      </c>
      <c r="AD49" s="20" t="s">
        <v>16</v>
      </c>
      <c r="AE49" s="20" t="s">
        <v>17</v>
      </c>
      <c r="AF49" s="20">
        <v>0</v>
      </c>
      <c r="AG49" s="20" t="s">
        <v>491</v>
      </c>
      <c r="AH49" s="20" t="s">
        <v>486</v>
      </c>
      <c r="AI49" s="20" t="s">
        <v>15</v>
      </c>
      <c r="AJ49" s="20">
        <v>-1</v>
      </c>
      <c r="AK49" s="20" t="s">
        <v>15</v>
      </c>
      <c r="AL49" s="20">
        <v>-1</v>
      </c>
      <c r="AM49" s="20" t="s">
        <v>492</v>
      </c>
      <c r="AN49">
        <v>47</v>
      </c>
    </row>
    <row r="50" spans="1:40" x14ac:dyDescent="0.25">
      <c r="A50" s="20" t="s">
        <v>7</v>
      </c>
      <c r="B50" s="21" t="s">
        <v>8</v>
      </c>
      <c r="C50" s="20" t="s">
        <v>9</v>
      </c>
      <c r="D50" s="21" t="s">
        <v>493</v>
      </c>
      <c r="E50" s="20">
        <v>2018</v>
      </c>
      <c r="F50" s="20">
        <v>2</v>
      </c>
      <c r="G50" s="20" t="s">
        <v>323</v>
      </c>
      <c r="H50" s="20" t="s">
        <v>10</v>
      </c>
      <c r="I50" s="20" t="s">
        <v>324</v>
      </c>
      <c r="J50" s="20">
        <v>4020</v>
      </c>
      <c r="K50" s="20" t="s">
        <v>494</v>
      </c>
      <c r="L50" s="20" t="s">
        <v>494</v>
      </c>
      <c r="M50" s="22">
        <v>0.5083333333333333</v>
      </c>
      <c r="N50" s="22">
        <v>0.58680555555555558</v>
      </c>
      <c r="O50" s="20">
        <v>30</v>
      </c>
      <c r="P50" s="20">
        <v>59</v>
      </c>
      <c r="Q50" s="20" t="s">
        <v>495</v>
      </c>
      <c r="R50" s="20">
        <v>100</v>
      </c>
      <c r="S50" s="20" t="s">
        <v>11</v>
      </c>
      <c r="T50" s="20" t="s">
        <v>12</v>
      </c>
      <c r="U50" s="20" t="s">
        <v>13</v>
      </c>
      <c r="V50" s="20" t="s">
        <v>14</v>
      </c>
      <c r="W50" s="20" t="s">
        <v>15</v>
      </c>
      <c r="X50" s="20">
        <v>6667</v>
      </c>
      <c r="Y50" s="20">
        <v>113</v>
      </c>
      <c r="Z50" s="20">
        <v>1.2520999999999999E-2</v>
      </c>
      <c r="AA50" s="20">
        <v>533754</v>
      </c>
      <c r="AB50" s="20">
        <v>1.2490772902872859E-2</v>
      </c>
      <c r="AC50" s="20">
        <v>5.7000000000000002E-2</v>
      </c>
      <c r="AD50" s="20" t="s">
        <v>16</v>
      </c>
      <c r="AE50" s="20" t="s">
        <v>17</v>
      </c>
      <c r="AF50" s="20">
        <v>0</v>
      </c>
      <c r="AG50" s="20" t="s">
        <v>495</v>
      </c>
      <c r="AH50" s="20" t="s">
        <v>496</v>
      </c>
      <c r="AI50" s="20" t="s">
        <v>15</v>
      </c>
      <c r="AJ50" s="20">
        <v>-1</v>
      </c>
      <c r="AK50" s="20" t="s">
        <v>15</v>
      </c>
      <c r="AL50" s="20">
        <v>-1</v>
      </c>
      <c r="AM50" s="20" t="s">
        <v>497</v>
      </c>
      <c r="AN50">
        <v>48</v>
      </c>
    </row>
    <row r="51" spans="1:40" x14ac:dyDescent="0.25">
      <c r="A51" s="20" t="s">
        <v>7</v>
      </c>
      <c r="B51" s="21" t="s">
        <v>8</v>
      </c>
      <c r="C51" s="20" t="s">
        <v>9</v>
      </c>
      <c r="D51" s="21" t="s">
        <v>498</v>
      </c>
      <c r="E51" s="20">
        <v>2018</v>
      </c>
      <c r="F51" s="20">
        <v>3</v>
      </c>
      <c r="G51" s="20" t="s">
        <v>342</v>
      </c>
      <c r="H51" s="20" t="s">
        <v>342</v>
      </c>
      <c r="I51" s="20" t="s">
        <v>343</v>
      </c>
      <c r="J51" s="20">
        <v>4010</v>
      </c>
      <c r="K51" s="20" t="s">
        <v>499</v>
      </c>
      <c r="L51" s="20" t="s">
        <v>499</v>
      </c>
      <c r="M51" s="22">
        <v>0.37222222222222223</v>
      </c>
      <c r="N51" s="22">
        <v>0.4458333333333333</v>
      </c>
      <c r="O51" s="20">
        <v>53</v>
      </c>
      <c r="P51" s="20">
        <v>83</v>
      </c>
      <c r="Q51" s="20" t="s">
        <v>500</v>
      </c>
      <c r="R51" s="20">
        <v>0</v>
      </c>
      <c r="S51" s="20" t="s">
        <v>11</v>
      </c>
      <c r="T51" s="20" t="s">
        <v>12</v>
      </c>
      <c r="U51" s="20" t="s">
        <v>13</v>
      </c>
      <c r="V51" s="20" t="s">
        <v>14</v>
      </c>
      <c r="W51" s="20" t="s">
        <v>15</v>
      </c>
      <c r="X51" s="20">
        <v>8798</v>
      </c>
      <c r="Y51" s="20">
        <v>106</v>
      </c>
      <c r="Z51" s="20">
        <v>1.6511000000000001E-2</v>
      </c>
      <c r="AA51" s="20">
        <v>533754</v>
      </c>
      <c r="AB51" s="20">
        <v>1.6483248837479439E-2</v>
      </c>
      <c r="AC51" s="20">
        <v>9.4E-2</v>
      </c>
      <c r="AD51" s="20" t="s">
        <v>16</v>
      </c>
      <c r="AE51" s="20" t="s">
        <v>17</v>
      </c>
      <c r="AF51" s="20">
        <v>0</v>
      </c>
      <c r="AG51" s="20" t="s">
        <v>500</v>
      </c>
      <c r="AH51" s="20" t="s">
        <v>386</v>
      </c>
      <c r="AI51" s="20" t="s">
        <v>15</v>
      </c>
      <c r="AJ51" s="20">
        <v>-1</v>
      </c>
      <c r="AK51" s="20" t="s">
        <v>15</v>
      </c>
      <c r="AL51" s="20">
        <v>-1</v>
      </c>
      <c r="AM51" s="20" t="s">
        <v>501</v>
      </c>
      <c r="AN51">
        <v>49</v>
      </c>
    </row>
    <row r="52" spans="1:40" x14ac:dyDescent="0.25">
      <c r="A52" s="20" t="s">
        <v>7</v>
      </c>
      <c r="B52" s="21" t="s">
        <v>8</v>
      </c>
      <c r="C52" s="20" t="s">
        <v>9</v>
      </c>
      <c r="D52" s="21" t="s">
        <v>502</v>
      </c>
      <c r="E52" s="20">
        <v>2018</v>
      </c>
      <c r="F52" s="20">
        <v>3</v>
      </c>
      <c r="G52" s="20" t="s">
        <v>323</v>
      </c>
      <c r="H52" s="20" t="s">
        <v>10</v>
      </c>
      <c r="I52" s="20" t="s">
        <v>381</v>
      </c>
      <c r="J52" s="20">
        <v>4010</v>
      </c>
      <c r="K52" s="20" t="s">
        <v>503</v>
      </c>
      <c r="L52" s="20" t="s">
        <v>503</v>
      </c>
      <c r="M52" s="22">
        <v>0.56736111111111109</v>
      </c>
      <c r="N52" s="22">
        <v>0.70208333333333339</v>
      </c>
      <c r="O52" s="20">
        <v>1</v>
      </c>
      <c r="P52" s="20">
        <v>8</v>
      </c>
      <c r="Q52" s="20" t="s">
        <v>504</v>
      </c>
      <c r="R52" s="20">
        <v>100</v>
      </c>
      <c r="S52" s="20" t="s">
        <v>11</v>
      </c>
      <c r="T52" s="20" t="s">
        <v>12</v>
      </c>
      <c r="U52" s="20" t="s">
        <v>13</v>
      </c>
      <c r="V52" s="20" t="s">
        <v>14</v>
      </c>
      <c r="W52" s="20" t="s">
        <v>15</v>
      </c>
      <c r="X52" s="20">
        <v>1552</v>
      </c>
      <c r="Y52" s="20">
        <v>194</v>
      </c>
      <c r="Z52" s="20">
        <v>2.9129999999999998E-3</v>
      </c>
      <c r="AA52" s="20">
        <v>533754</v>
      </c>
      <c r="AB52" s="20">
        <v>2.9077065464614784E-3</v>
      </c>
      <c r="AC52" s="20">
        <v>3.0000000000000001E-3</v>
      </c>
      <c r="AD52" s="20" t="s">
        <v>16</v>
      </c>
      <c r="AE52" s="20" t="s">
        <v>17</v>
      </c>
      <c r="AF52" s="20">
        <v>0</v>
      </c>
      <c r="AG52" s="20" t="s">
        <v>504</v>
      </c>
      <c r="AH52" s="20" t="s">
        <v>505</v>
      </c>
      <c r="AI52" s="20" t="s">
        <v>15</v>
      </c>
      <c r="AJ52" s="20">
        <v>-1</v>
      </c>
      <c r="AK52" s="20" t="s">
        <v>15</v>
      </c>
      <c r="AL52" s="20">
        <v>-1</v>
      </c>
      <c r="AM52" s="20" t="s">
        <v>506</v>
      </c>
      <c r="AN52">
        <v>50</v>
      </c>
    </row>
    <row r="53" spans="1:40" x14ac:dyDescent="0.25">
      <c r="A53" s="20" t="s">
        <v>7</v>
      </c>
      <c r="B53" s="21" t="s">
        <v>8</v>
      </c>
      <c r="C53" s="20" t="s">
        <v>9</v>
      </c>
      <c r="D53" s="21" t="s">
        <v>507</v>
      </c>
      <c r="E53" s="20">
        <v>2018</v>
      </c>
      <c r="F53" s="20">
        <v>3</v>
      </c>
      <c r="G53" s="20" t="s">
        <v>329</v>
      </c>
      <c r="H53" s="20" t="s">
        <v>10</v>
      </c>
      <c r="I53" s="20" t="s">
        <v>352</v>
      </c>
      <c r="J53" s="20">
        <v>4010</v>
      </c>
      <c r="K53" s="20" t="s">
        <v>503</v>
      </c>
      <c r="L53" s="20" t="s">
        <v>503</v>
      </c>
      <c r="M53" s="22">
        <v>0.63750000000000007</v>
      </c>
      <c r="N53" s="22">
        <v>0.64027777777777783</v>
      </c>
      <c r="O53" s="20">
        <v>3998</v>
      </c>
      <c r="P53" s="20"/>
      <c r="Q53" s="20" t="s">
        <v>20</v>
      </c>
      <c r="R53" s="20">
        <v>100</v>
      </c>
      <c r="S53" s="20" t="s">
        <v>11</v>
      </c>
      <c r="T53" s="20" t="s">
        <v>373</v>
      </c>
      <c r="U53" s="20" t="s">
        <v>13</v>
      </c>
      <c r="V53" s="20" t="s">
        <v>14</v>
      </c>
      <c r="W53" s="20"/>
      <c r="X53" s="20"/>
      <c r="Y53" s="20">
        <v>4</v>
      </c>
      <c r="Z53" s="20"/>
      <c r="AA53" s="20">
        <v>533754</v>
      </c>
      <c r="AB53" s="20"/>
      <c r="AC53" s="20">
        <v>0.26700000000000002</v>
      </c>
      <c r="AD53" s="20" t="s">
        <v>16</v>
      </c>
      <c r="AE53" s="20" t="s">
        <v>21</v>
      </c>
      <c r="AF53" s="20" t="s">
        <v>37</v>
      </c>
      <c r="AG53" s="20">
        <v>0</v>
      </c>
      <c r="AH53" s="20" t="s">
        <v>508</v>
      </c>
      <c r="AI53" s="20" t="s">
        <v>15</v>
      </c>
      <c r="AJ53" s="20">
        <v>-1</v>
      </c>
      <c r="AK53" s="20" t="s">
        <v>15</v>
      </c>
      <c r="AL53" s="20">
        <v>-1</v>
      </c>
      <c r="AM53" s="20" t="s">
        <v>18</v>
      </c>
      <c r="AN53">
        <v>51</v>
      </c>
    </row>
    <row r="54" spans="1:40" x14ac:dyDescent="0.25">
      <c r="A54" s="20" t="s">
        <v>7</v>
      </c>
      <c r="B54" s="21" t="s">
        <v>8</v>
      </c>
      <c r="C54" s="20" t="s">
        <v>9</v>
      </c>
      <c r="D54" s="21" t="s">
        <v>509</v>
      </c>
      <c r="E54" s="20">
        <v>2018</v>
      </c>
      <c r="F54" s="20">
        <v>3</v>
      </c>
      <c r="G54" s="20" t="s">
        <v>323</v>
      </c>
      <c r="H54" s="20" t="s">
        <v>10</v>
      </c>
      <c r="I54" s="20" t="s">
        <v>324</v>
      </c>
      <c r="J54" s="20">
        <v>4010</v>
      </c>
      <c r="K54" s="20" t="s">
        <v>503</v>
      </c>
      <c r="L54" s="20" t="s">
        <v>503</v>
      </c>
      <c r="M54" s="22">
        <v>0.86111111111111116</v>
      </c>
      <c r="N54" s="22">
        <v>0.90277777777777779</v>
      </c>
      <c r="O54" s="20">
        <v>42</v>
      </c>
      <c r="P54" s="20">
        <v>102</v>
      </c>
      <c r="Q54" s="20" t="s">
        <v>510</v>
      </c>
      <c r="R54" s="20">
        <v>100</v>
      </c>
      <c r="S54" s="20" t="s">
        <v>11</v>
      </c>
      <c r="T54" s="20" t="s">
        <v>51</v>
      </c>
      <c r="U54" s="20" t="s">
        <v>13</v>
      </c>
      <c r="V54" s="20" t="s">
        <v>14</v>
      </c>
      <c r="W54" s="20" t="s">
        <v>15</v>
      </c>
      <c r="X54" s="20">
        <v>6120</v>
      </c>
      <c r="Y54" s="20">
        <v>60</v>
      </c>
      <c r="Z54" s="20">
        <v>1.1485E-2</v>
      </c>
      <c r="AA54" s="20">
        <v>533754</v>
      </c>
      <c r="AB54" s="20">
        <v>1.1465956227025934E-2</v>
      </c>
      <c r="AC54" s="20">
        <v>4.2000000000000003E-2</v>
      </c>
      <c r="AD54" s="20" t="s">
        <v>16</v>
      </c>
      <c r="AE54" s="20" t="s">
        <v>17</v>
      </c>
      <c r="AF54" s="20">
        <v>0</v>
      </c>
      <c r="AG54" s="20" t="s">
        <v>510</v>
      </c>
      <c r="AH54" s="20" t="s">
        <v>505</v>
      </c>
      <c r="AI54" s="20" t="s">
        <v>15</v>
      </c>
      <c r="AJ54" s="20">
        <v>-1</v>
      </c>
      <c r="AK54" s="20" t="s">
        <v>15</v>
      </c>
      <c r="AL54" s="20">
        <v>-1</v>
      </c>
      <c r="AM54" s="20" t="s">
        <v>511</v>
      </c>
      <c r="AN54">
        <v>52</v>
      </c>
    </row>
    <row r="55" spans="1:40" x14ac:dyDescent="0.25">
      <c r="A55" s="20" t="s">
        <v>7</v>
      </c>
      <c r="B55" s="21" t="s">
        <v>8</v>
      </c>
      <c r="C55" s="20" t="s">
        <v>9</v>
      </c>
      <c r="D55" s="21" t="s">
        <v>512</v>
      </c>
      <c r="E55" s="20">
        <v>2018</v>
      </c>
      <c r="F55" s="20">
        <v>3</v>
      </c>
      <c r="G55" s="20" t="s">
        <v>323</v>
      </c>
      <c r="H55" s="20" t="s">
        <v>10</v>
      </c>
      <c r="I55" s="20" t="s">
        <v>324</v>
      </c>
      <c r="J55" s="20">
        <v>4020</v>
      </c>
      <c r="K55" s="20" t="s">
        <v>503</v>
      </c>
      <c r="L55" s="20" t="s">
        <v>503</v>
      </c>
      <c r="M55" s="22">
        <v>0.33333333333333331</v>
      </c>
      <c r="N55" s="22">
        <v>0.45208333333333334</v>
      </c>
      <c r="O55" s="20">
        <v>8</v>
      </c>
      <c r="P55" s="20">
        <v>80</v>
      </c>
      <c r="Q55" s="20" t="s">
        <v>513</v>
      </c>
      <c r="R55" s="20">
        <v>100</v>
      </c>
      <c r="S55" s="20" t="s">
        <v>514</v>
      </c>
      <c r="T55" s="20" t="s">
        <v>19</v>
      </c>
      <c r="U55" s="20" t="s">
        <v>13</v>
      </c>
      <c r="V55" s="20" t="s">
        <v>14</v>
      </c>
      <c r="W55" s="20" t="s">
        <v>15</v>
      </c>
      <c r="X55" s="20">
        <v>13680</v>
      </c>
      <c r="Y55" s="20">
        <v>171</v>
      </c>
      <c r="Z55" s="20">
        <v>2.5673000000000001E-2</v>
      </c>
      <c r="AA55" s="20">
        <v>533754</v>
      </c>
      <c r="AB55" s="20">
        <v>2.5629784507469732E-2</v>
      </c>
      <c r="AC55" s="20">
        <v>2.3E-2</v>
      </c>
      <c r="AD55" s="20" t="s">
        <v>16</v>
      </c>
      <c r="AE55" s="20" t="s">
        <v>17</v>
      </c>
      <c r="AF55" s="20">
        <v>0</v>
      </c>
      <c r="AG55" s="20" t="s">
        <v>513</v>
      </c>
      <c r="AH55" s="20" t="s">
        <v>515</v>
      </c>
      <c r="AI55" s="20" t="s">
        <v>15</v>
      </c>
      <c r="AJ55" s="20">
        <v>-1</v>
      </c>
      <c r="AK55" s="20" t="s">
        <v>15</v>
      </c>
      <c r="AL55" s="20">
        <v>-1</v>
      </c>
      <c r="AM55" s="20" t="s">
        <v>516</v>
      </c>
      <c r="AN55">
        <v>53</v>
      </c>
    </row>
    <row r="56" spans="1:40" x14ac:dyDescent="0.25">
      <c r="A56" s="20" t="s">
        <v>7</v>
      </c>
      <c r="B56" s="21" t="s">
        <v>8</v>
      </c>
      <c r="C56" s="20" t="s">
        <v>9</v>
      </c>
      <c r="D56" s="21" t="s">
        <v>517</v>
      </c>
      <c r="E56" s="20">
        <v>2018</v>
      </c>
      <c r="F56" s="20">
        <v>3</v>
      </c>
      <c r="G56" s="20" t="s">
        <v>342</v>
      </c>
      <c r="H56" s="20" t="s">
        <v>342</v>
      </c>
      <c r="I56" s="20" t="s">
        <v>343</v>
      </c>
      <c r="J56" s="20">
        <v>4080</v>
      </c>
      <c r="K56" s="20" t="s">
        <v>503</v>
      </c>
      <c r="L56" s="20" t="s">
        <v>503</v>
      </c>
      <c r="M56" s="22">
        <v>0.48402777777777778</v>
      </c>
      <c r="N56" s="22">
        <v>0.54513888888888895</v>
      </c>
      <c r="O56" s="20">
        <v>60</v>
      </c>
      <c r="P56" s="20">
        <v>60</v>
      </c>
      <c r="Q56" s="20" t="s">
        <v>518</v>
      </c>
      <c r="R56" s="20">
        <v>0</v>
      </c>
      <c r="S56" s="20" t="s">
        <v>11</v>
      </c>
      <c r="T56" s="20" t="s">
        <v>12</v>
      </c>
      <c r="U56" s="20" t="s">
        <v>13</v>
      </c>
      <c r="V56" s="20" t="s">
        <v>14</v>
      </c>
      <c r="W56" s="20" t="s">
        <v>15</v>
      </c>
      <c r="X56" s="20">
        <v>5280</v>
      </c>
      <c r="Y56" s="20">
        <v>88</v>
      </c>
      <c r="Z56" s="20">
        <v>9.9089999999999994E-3</v>
      </c>
      <c r="AA56" s="20">
        <v>533754</v>
      </c>
      <c r="AB56" s="20">
        <v>9.8921975291988446E-3</v>
      </c>
      <c r="AC56" s="20">
        <v>8.7999999999999995E-2</v>
      </c>
      <c r="AD56" s="20" t="s">
        <v>16</v>
      </c>
      <c r="AE56" s="20" t="s">
        <v>17</v>
      </c>
      <c r="AF56" s="20">
        <v>0</v>
      </c>
      <c r="AG56" s="20" t="s">
        <v>518</v>
      </c>
      <c r="AH56" s="20" t="s">
        <v>386</v>
      </c>
      <c r="AI56" s="20" t="s">
        <v>15</v>
      </c>
      <c r="AJ56" s="20">
        <v>-1</v>
      </c>
      <c r="AK56" s="20" t="s">
        <v>15</v>
      </c>
      <c r="AL56" s="20">
        <v>-1</v>
      </c>
      <c r="AM56" s="20" t="s">
        <v>519</v>
      </c>
      <c r="AN56">
        <v>54</v>
      </c>
    </row>
    <row r="57" spans="1:40" x14ac:dyDescent="0.25">
      <c r="A57" s="20" t="s">
        <v>7</v>
      </c>
      <c r="B57" s="21" t="s">
        <v>8</v>
      </c>
      <c r="C57" s="20" t="s">
        <v>9</v>
      </c>
      <c r="D57" s="21" t="s">
        <v>520</v>
      </c>
      <c r="E57" s="20">
        <v>2018</v>
      </c>
      <c r="F57" s="20">
        <v>3</v>
      </c>
      <c r="G57" s="20" t="s">
        <v>342</v>
      </c>
      <c r="H57" s="20" t="s">
        <v>342</v>
      </c>
      <c r="I57" s="20" t="s">
        <v>393</v>
      </c>
      <c r="J57" s="20">
        <v>4040</v>
      </c>
      <c r="K57" s="20" t="s">
        <v>521</v>
      </c>
      <c r="L57" s="20" t="s">
        <v>521</v>
      </c>
      <c r="M57" s="22">
        <v>0.37847222222222227</v>
      </c>
      <c r="N57" s="22">
        <v>0.54791666666666672</v>
      </c>
      <c r="O57" s="20">
        <v>126</v>
      </c>
      <c r="P57" s="20">
        <v>60</v>
      </c>
      <c r="Q57" s="20" t="s">
        <v>522</v>
      </c>
      <c r="R57" s="20">
        <v>0</v>
      </c>
      <c r="S57" s="20" t="s">
        <v>11</v>
      </c>
      <c r="T57" s="20" t="s">
        <v>19</v>
      </c>
      <c r="U57" s="20" t="s">
        <v>13</v>
      </c>
      <c r="V57" s="20" t="s">
        <v>14</v>
      </c>
      <c r="W57" s="20" t="s">
        <v>15</v>
      </c>
      <c r="X57" s="20">
        <v>14640</v>
      </c>
      <c r="Y57" s="20">
        <v>244</v>
      </c>
      <c r="Z57" s="20">
        <v>2.7474999999999999E-2</v>
      </c>
      <c r="AA57" s="20">
        <v>533754</v>
      </c>
      <c r="AB57" s="20">
        <v>2.7428365876414978E-2</v>
      </c>
      <c r="AC57" s="20">
        <v>0.51200000000000001</v>
      </c>
      <c r="AD57" s="20" t="s">
        <v>16</v>
      </c>
      <c r="AE57" s="20" t="s">
        <v>17</v>
      </c>
      <c r="AF57" s="20">
        <v>0</v>
      </c>
      <c r="AG57" s="20" t="s">
        <v>522</v>
      </c>
      <c r="AH57" s="20" t="s">
        <v>45</v>
      </c>
      <c r="AI57" s="20" t="s">
        <v>15</v>
      </c>
      <c r="AJ57" s="20">
        <v>-1</v>
      </c>
      <c r="AK57" s="20" t="s">
        <v>15</v>
      </c>
      <c r="AL57" s="20">
        <v>-1</v>
      </c>
      <c r="AM57" s="20" t="s">
        <v>523</v>
      </c>
      <c r="AN57">
        <v>55</v>
      </c>
    </row>
    <row r="58" spans="1:40" x14ac:dyDescent="0.25">
      <c r="A58" s="20" t="s">
        <v>7</v>
      </c>
      <c r="B58" s="21" t="s">
        <v>8</v>
      </c>
      <c r="C58" s="20" t="s">
        <v>9</v>
      </c>
      <c r="D58" s="21" t="s">
        <v>524</v>
      </c>
      <c r="E58" s="20">
        <v>2018</v>
      </c>
      <c r="F58" s="20">
        <v>3</v>
      </c>
      <c r="G58" s="20" t="s">
        <v>342</v>
      </c>
      <c r="H58" s="20" t="s">
        <v>342</v>
      </c>
      <c r="I58" s="20" t="s">
        <v>361</v>
      </c>
      <c r="J58" s="20">
        <v>4020</v>
      </c>
      <c r="K58" s="20" t="s">
        <v>525</v>
      </c>
      <c r="L58" s="20" t="s">
        <v>525</v>
      </c>
      <c r="M58" s="22">
        <v>0.16250000000000001</v>
      </c>
      <c r="N58" s="22">
        <v>0.37986111111111115</v>
      </c>
      <c r="O58" s="20">
        <v>33</v>
      </c>
      <c r="P58" s="20">
        <v>82</v>
      </c>
      <c r="Q58" s="20" t="s">
        <v>526</v>
      </c>
      <c r="R58" s="20">
        <v>0</v>
      </c>
      <c r="S58" s="20" t="s">
        <v>11</v>
      </c>
      <c r="T58" s="20" t="s">
        <v>19</v>
      </c>
      <c r="U58" s="20" t="s">
        <v>13</v>
      </c>
      <c r="V58" s="20" t="s">
        <v>14</v>
      </c>
      <c r="W58" s="20" t="s">
        <v>15</v>
      </c>
      <c r="X58" s="20">
        <v>25666</v>
      </c>
      <c r="Y58" s="20">
        <v>313</v>
      </c>
      <c r="Z58" s="20">
        <v>4.8167000000000001E-2</v>
      </c>
      <c r="AA58" s="20">
        <v>533754</v>
      </c>
      <c r="AB58" s="20">
        <v>4.8085822307654839E-2</v>
      </c>
      <c r="AC58" s="20">
        <v>0.17199999999999999</v>
      </c>
      <c r="AD58" s="20" t="s">
        <v>16</v>
      </c>
      <c r="AE58" s="20" t="s">
        <v>17</v>
      </c>
      <c r="AF58" s="20">
        <v>0</v>
      </c>
      <c r="AG58" s="20" t="s">
        <v>526</v>
      </c>
      <c r="AH58" s="20" t="s">
        <v>45</v>
      </c>
      <c r="AI58" s="20" t="s">
        <v>15</v>
      </c>
      <c r="AJ58" s="20">
        <v>-1</v>
      </c>
      <c r="AK58" s="20" t="s">
        <v>15</v>
      </c>
      <c r="AL58" s="20">
        <v>-1</v>
      </c>
      <c r="AM58" s="20" t="s">
        <v>527</v>
      </c>
      <c r="AN58">
        <v>56</v>
      </c>
    </row>
    <row r="59" spans="1:40" x14ac:dyDescent="0.25">
      <c r="A59" s="20" t="s">
        <v>7</v>
      </c>
      <c r="B59" s="21" t="s">
        <v>8</v>
      </c>
      <c r="C59" s="20" t="s">
        <v>9</v>
      </c>
      <c r="D59" s="21" t="s">
        <v>528</v>
      </c>
      <c r="E59" s="20">
        <v>2018</v>
      </c>
      <c r="F59" s="20">
        <v>3</v>
      </c>
      <c r="G59" s="20" t="s">
        <v>342</v>
      </c>
      <c r="H59" s="20" t="s">
        <v>342</v>
      </c>
      <c r="I59" s="20" t="s">
        <v>366</v>
      </c>
      <c r="J59" s="20">
        <v>4070</v>
      </c>
      <c r="K59" s="20" t="s">
        <v>525</v>
      </c>
      <c r="L59" s="20" t="s">
        <v>525</v>
      </c>
      <c r="M59" s="22">
        <v>0.44375000000000003</v>
      </c>
      <c r="N59" s="22">
        <v>0.49791666666666662</v>
      </c>
      <c r="O59" s="20">
        <v>60</v>
      </c>
      <c r="P59" s="20">
        <v>100</v>
      </c>
      <c r="Q59" s="20" t="s">
        <v>529</v>
      </c>
      <c r="R59" s="20">
        <v>0</v>
      </c>
      <c r="S59" s="20" t="s">
        <v>11</v>
      </c>
      <c r="T59" s="20" t="s">
        <v>12</v>
      </c>
      <c r="U59" s="20" t="s">
        <v>13</v>
      </c>
      <c r="V59" s="20" t="s">
        <v>14</v>
      </c>
      <c r="W59" s="20" t="s">
        <v>15</v>
      </c>
      <c r="X59" s="20">
        <v>7800</v>
      </c>
      <c r="Y59" s="20">
        <v>78</v>
      </c>
      <c r="Z59" s="20">
        <v>1.4638E-2</v>
      </c>
      <c r="AA59" s="20">
        <v>533754</v>
      </c>
      <c r="AB59" s="20">
        <v>1.4613473622680111E-2</v>
      </c>
      <c r="AC59" s="20">
        <v>7.8E-2</v>
      </c>
      <c r="AD59" s="20" t="s">
        <v>16</v>
      </c>
      <c r="AE59" s="20" t="s">
        <v>17</v>
      </c>
      <c r="AF59" s="20">
        <v>0</v>
      </c>
      <c r="AG59" s="20" t="s">
        <v>529</v>
      </c>
      <c r="AH59" s="20" t="s">
        <v>45</v>
      </c>
      <c r="AI59" s="20" t="s">
        <v>15</v>
      </c>
      <c r="AJ59" s="20">
        <v>-1</v>
      </c>
      <c r="AK59" s="20" t="s">
        <v>15</v>
      </c>
      <c r="AL59" s="20">
        <v>-1</v>
      </c>
      <c r="AM59" s="20" t="s">
        <v>530</v>
      </c>
      <c r="AN59">
        <v>57</v>
      </c>
    </row>
    <row r="60" spans="1:40" x14ac:dyDescent="0.25">
      <c r="A60" s="20" t="s">
        <v>7</v>
      </c>
      <c r="B60" s="21" t="s">
        <v>8</v>
      </c>
      <c r="C60" s="20" t="s">
        <v>9</v>
      </c>
      <c r="D60" s="21" t="s">
        <v>531</v>
      </c>
      <c r="E60" s="20">
        <v>2018</v>
      </c>
      <c r="F60" s="20">
        <v>3</v>
      </c>
      <c r="G60" s="20" t="s">
        <v>329</v>
      </c>
      <c r="H60" s="20" t="s">
        <v>10</v>
      </c>
      <c r="I60" s="20" t="s">
        <v>352</v>
      </c>
      <c r="J60" s="20">
        <v>4030</v>
      </c>
      <c r="K60" s="20" t="s">
        <v>525</v>
      </c>
      <c r="L60" s="20" t="s">
        <v>525</v>
      </c>
      <c r="M60" s="22">
        <v>5.2083333333333336E-2</v>
      </c>
      <c r="N60" s="22">
        <v>0.25</v>
      </c>
      <c r="O60" s="20">
        <v>86</v>
      </c>
      <c r="P60" s="20">
        <v>92</v>
      </c>
      <c r="Q60" s="20" t="s">
        <v>532</v>
      </c>
      <c r="R60" s="20">
        <v>100</v>
      </c>
      <c r="S60" s="20" t="s">
        <v>372</v>
      </c>
      <c r="T60" s="20" t="s">
        <v>19</v>
      </c>
      <c r="U60" s="20" t="s">
        <v>13</v>
      </c>
      <c r="V60" s="20" t="s">
        <v>14</v>
      </c>
      <c r="W60" s="20" t="s">
        <v>15</v>
      </c>
      <c r="X60" s="20">
        <v>26220</v>
      </c>
      <c r="Y60" s="20">
        <v>285</v>
      </c>
      <c r="Z60" s="20">
        <v>4.9207000000000001E-2</v>
      </c>
      <c r="AA60" s="20">
        <v>533754</v>
      </c>
      <c r="AB60" s="20">
        <v>4.9123753639316987E-2</v>
      </c>
      <c r="AC60" s="20">
        <v>0.40799999999999997</v>
      </c>
      <c r="AD60" s="20" t="s">
        <v>16</v>
      </c>
      <c r="AE60" s="20" t="s">
        <v>17</v>
      </c>
      <c r="AF60" s="20">
        <v>0</v>
      </c>
      <c r="AG60" s="20" t="s">
        <v>532</v>
      </c>
      <c r="AH60" s="20" t="s">
        <v>533</v>
      </c>
      <c r="AI60" s="20" t="s">
        <v>15</v>
      </c>
      <c r="AJ60" s="20">
        <v>-1</v>
      </c>
      <c r="AK60" s="20" t="s">
        <v>15</v>
      </c>
      <c r="AL60" s="20">
        <v>-1</v>
      </c>
      <c r="AM60" s="20" t="s">
        <v>18</v>
      </c>
      <c r="AN60">
        <v>58</v>
      </c>
    </row>
    <row r="61" spans="1:40" x14ac:dyDescent="0.25">
      <c r="A61" s="20" t="s">
        <v>7</v>
      </c>
      <c r="B61" s="21" t="s">
        <v>8</v>
      </c>
      <c r="C61" s="20" t="s">
        <v>9</v>
      </c>
      <c r="D61" s="21" t="s">
        <v>534</v>
      </c>
      <c r="E61" s="20">
        <v>2018</v>
      </c>
      <c r="F61" s="20">
        <v>3</v>
      </c>
      <c r="G61" s="20" t="s">
        <v>342</v>
      </c>
      <c r="H61" s="20" t="s">
        <v>342</v>
      </c>
      <c r="I61" s="20" t="s">
        <v>397</v>
      </c>
      <c r="J61" s="20">
        <v>4015</v>
      </c>
      <c r="K61" s="20" t="s">
        <v>525</v>
      </c>
      <c r="L61" s="20" t="s">
        <v>525</v>
      </c>
      <c r="M61" s="22">
        <v>0.57638888888888895</v>
      </c>
      <c r="N61" s="22">
        <v>0.85902777777777783</v>
      </c>
      <c r="O61" s="20">
        <v>1</v>
      </c>
      <c r="P61" s="20">
        <v>112</v>
      </c>
      <c r="Q61" s="20" t="s">
        <v>535</v>
      </c>
      <c r="R61" s="20">
        <v>0</v>
      </c>
      <c r="S61" s="20" t="s">
        <v>11</v>
      </c>
      <c r="T61" s="20" t="s">
        <v>51</v>
      </c>
      <c r="U61" s="20" t="s">
        <v>13</v>
      </c>
      <c r="V61" s="20" t="s">
        <v>14</v>
      </c>
      <c r="W61" s="20" t="s">
        <v>15</v>
      </c>
      <c r="X61" s="20">
        <v>45584</v>
      </c>
      <c r="Y61" s="20">
        <v>407</v>
      </c>
      <c r="Z61" s="20">
        <v>8.5546999999999998E-2</v>
      </c>
      <c r="AA61" s="20">
        <v>533754</v>
      </c>
      <c r="AB61" s="20">
        <v>8.5402638668750017E-2</v>
      </c>
      <c r="AC61" s="20">
        <v>7.0000000000000001E-3</v>
      </c>
      <c r="AD61" s="20" t="s">
        <v>16</v>
      </c>
      <c r="AE61" s="20" t="s">
        <v>17</v>
      </c>
      <c r="AF61" s="20">
        <v>0</v>
      </c>
      <c r="AG61" s="20" t="s">
        <v>535</v>
      </c>
      <c r="AH61" s="20" t="s">
        <v>536</v>
      </c>
      <c r="AI61" s="20" t="s">
        <v>15</v>
      </c>
      <c r="AJ61" s="20">
        <v>-1</v>
      </c>
      <c r="AK61" s="20" t="s">
        <v>15</v>
      </c>
      <c r="AL61" s="20">
        <v>-1</v>
      </c>
      <c r="AM61" s="20" t="s">
        <v>18</v>
      </c>
      <c r="AN61">
        <v>59</v>
      </c>
    </row>
    <row r="62" spans="1:40" x14ac:dyDescent="0.25">
      <c r="A62" s="20" t="s">
        <v>7</v>
      </c>
      <c r="B62" s="21" t="s">
        <v>8</v>
      </c>
      <c r="C62" s="20" t="s">
        <v>9</v>
      </c>
      <c r="D62" s="21" t="s">
        <v>222</v>
      </c>
      <c r="E62" s="20">
        <v>2018</v>
      </c>
      <c r="F62" s="20">
        <v>3</v>
      </c>
      <c r="G62" s="20" t="s">
        <v>9</v>
      </c>
      <c r="H62" s="20" t="s">
        <v>10</v>
      </c>
      <c r="I62" s="20" t="s">
        <v>203</v>
      </c>
      <c r="J62" s="20">
        <v>4025</v>
      </c>
      <c r="K62" s="20" t="s">
        <v>223</v>
      </c>
      <c r="L62" s="20" t="s">
        <v>223</v>
      </c>
      <c r="M62" s="22">
        <v>0.40486111111111112</v>
      </c>
      <c r="N62" s="22">
        <v>0.4375</v>
      </c>
      <c r="O62" s="20">
        <v>30</v>
      </c>
      <c r="P62" s="20">
        <v>83</v>
      </c>
      <c r="Q62" s="20" t="s">
        <v>224</v>
      </c>
      <c r="R62" s="20">
        <v>100</v>
      </c>
      <c r="S62" s="20" t="s">
        <v>11</v>
      </c>
      <c r="T62" s="20" t="s">
        <v>12</v>
      </c>
      <c r="U62" s="20" t="s">
        <v>13</v>
      </c>
      <c r="V62" s="20" t="s">
        <v>14</v>
      </c>
      <c r="W62" s="20" t="s">
        <v>15</v>
      </c>
      <c r="X62" s="20">
        <v>3901</v>
      </c>
      <c r="Y62" s="20">
        <v>47</v>
      </c>
      <c r="Z62" s="20">
        <v>7.3210000000000003E-3</v>
      </c>
      <c r="AA62" s="20">
        <v>533754</v>
      </c>
      <c r="AB62" s="20">
        <v>7.3086103335993739E-3</v>
      </c>
      <c r="AC62" s="20">
        <v>2.4E-2</v>
      </c>
      <c r="AD62" s="20" t="s">
        <v>16</v>
      </c>
      <c r="AE62" s="20" t="s">
        <v>17</v>
      </c>
      <c r="AF62" s="20">
        <v>0</v>
      </c>
      <c r="AG62" s="20" t="s">
        <v>224</v>
      </c>
      <c r="AH62" s="20" t="s">
        <v>225</v>
      </c>
      <c r="AI62" s="20" t="s">
        <v>15</v>
      </c>
      <c r="AJ62" s="20">
        <v>-1</v>
      </c>
      <c r="AK62" s="20" t="s">
        <v>15</v>
      </c>
      <c r="AL62" s="20">
        <v>-1</v>
      </c>
      <c r="AM62" s="20" t="s">
        <v>226</v>
      </c>
      <c r="AN62">
        <v>60</v>
      </c>
    </row>
    <row r="63" spans="1:40" x14ac:dyDescent="0.25">
      <c r="A63" s="20" t="s">
        <v>7</v>
      </c>
      <c r="B63" s="21" t="s">
        <v>8</v>
      </c>
      <c r="C63" s="20" t="s">
        <v>9</v>
      </c>
      <c r="D63" s="21" t="s">
        <v>537</v>
      </c>
      <c r="E63" s="20">
        <v>2018</v>
      </c>
      <c r="F63" s="20">
        <v>3</v>
      </c>
      <c r="G63" s="20" t="s">
        <v>323</v>
      </c>
      <c r="H63" s="20" t="s">
        <v>10</v>
      </c>
      <c r="I63" s="20" t="s">
        <v>324</v>
      </c>
      <c r="J63" s="20">
        <v>4020</v>
      </c>
      <c r="K63" s="20" t="s">
        <v>223</v>
      </c>
      <c r="L63" s="20" t="s">
        <v>223</v>
      </c>
      <c r="M63" s="22">
        <v>0.52222222222222225</v>
      </c>
      <c r="N63" s="22">
        <v>0.58333333333333337</v>
      </c>
      <c r="O63" s="20">
        <v>20</v>
      </c>
      <c r="P63" s="20">
        <v>60</v>
      </c>
      <c r="Q63" s="20" t="s">
        <v>495</v>
      </c>
      <c r="R63" s="20">
        <v>100</v>
      </c>
      <c r="S63" s="20" t="s">
        <v>23</v>
      </c>
      <c r="T63" s="20" t="s">
        <v>12</v>
      </c>
      <c r="U63" s="20" t="s">
        <v>13</v>
      </c>
      <c r="V63" s="20" t="s">
        <v>14</v>
      </c>
      <c r="W63" s="20" t="s">
        <v>15</v>
      </c>
      <c r="X63" s="20">
        <v>5280</v>
      </c>
      <c r="Y63" s="20">
        <v>88</v>
      </c>
      <c r="Z63" s="20">
        <v>9.9089999999999994E-3</v>
      </c>
      <c r="AA63" s="20">
        <v>533754</v>
      </c>
      <c r="AB63" s="20">
        <v>9.8921975291988446E-3</v>
      </c>
      <c r="AC63" s="20">
        <v>2.9000000000000001E-2</v>
      </c>
      <c r="AD63" s="20" t="s">
        <v>16</v>
      </c>
      <c r="AE63" s="20" t="s">
        <v>17</v>
      </c>
      <c r="AF63" s="20">
        <v>0</v>
      </c>
      <c r="AG63" s="20" t="s">
        <v>495</v>
      </c>
      <c r="AH63" s="20" t="s">
        <v>515</v>
      </c>
      <c r="AI63" s="20" t="s">
        <v>15</v>
      </c>
      <c r="AJ63" s="20">
        <v>-1</v>
      </c>
      <c r="AK63" s="20" t="s">
        <v>15</v>
      </c>
      <c r="AL63" s="20">
        <v>-1</v>
      </c>
      <c r="AM63" s="20" t="s">
        <v>538</v>
      </c>
      <c r="AN63">
        <v>61</v>
      </c>
    </row>
    <row r="64" spans="1:40" x14ac:dyDescent="0.25">
      <c r="A64" s="20" t="s">
        <v>7</v>
      </c>
      <c r="B64" s="21" t="s">
        <v>8</v>
      </c>
      <c r="C64" s="20" t="s">
        <v>9</v>
      </c>
      <c r="D64" s="21" t="s">
        <v>539</v>
      </c>
      <c r="E64" s="20">
        <v>2018</v>
      </c>
      <c r="F64" s="20">
        <v>3</v>
      </c>
      <c r="G64" s="20" t="s">
        <v>323</v>
      </c>
      <c r="H64" s="20" t="s">
        <v>10</v>
      </c>
      <c r="I64" s="20" t="s">
        <v>381</v>
      </c>
      <c r="J64" s="20">
        <v>4010</v>
      </c>
      <c r="K64" s="20" t="s">
        <v>223</v>
      </c>
      <c r="L64" s="20" t="s">
        <v>223</v>
      </c>
      <c r="M64" s="22">
        <v>0.3833333333333333</v>
      </c>
      <c r="N64" s="22">
        <v>0.50069444444444444</v>
      </c>
      <c r="O64" s="20">
        <v>11</v>
      </c>
      <c r="P64" s="20">
        <v>50</v>
      </c>
      <c r="Q64" s="20" t="s">
        <v>540</v>
      </c>
      <c r="R64" s="20">
        <v>100</v>
      </c>
      <c r="S64" s="20" t="s">
        <v>11</v>
      </c>
      <c r="T64" s="20" t="s">
        <v>12</v>
      </c>
      <c r="U64" s="20" t="s">
        <v>13</v>
      </c>
      <c r="V64" s="20" t="s">
        <v>14</v>
      </c>
      <c r="W64" s="20" t="s">
        <v>15</v>
      </c>
      <c r="X64" s="20">
        <v>8450</v>
      </c>
      <c r="Y64" s="20">
        <v>169</v>
      </c>
      <c r="Z64" s="20">
        <v>1.5858000000000001E-2</v>
      </c>
      <c r="AA64" s="20">
        <v>533754</v>
      </c>
      <c r="AB64" s="20">
        <v>1.5831263091236787E-2</v>
      </c>
      <c r="AC64" s="20">
        <v>3.1E-2</v>
      </c>
      <c r="AD64" s="20" t="s">
        <v>16</v>
      </c>
      <c r="AE64" s="20" t="s">
        <v>17</v>
      </c>
      <c r="AF64" s="20">
        <v>0</v>
      </c>
      <c r="AG64" s="20" t="s">
        <v>540</v>
      </c>
      <c r="AH64" s="20" t="s">
        <v>541</v>
      </c>
      <c r="AI64" s="20" t="s">
        <v>15</v>
      </c>
      <c r="AJ64" s="20">
        <v>-1</v>
      </c>
      <c r="AK64" s="20" t="s">
        <v>15</v>
      </c>
      <c r="AL64" s="20">
        <v>-1</v>
      </c>
      <c r="AM64" s="20" t="s">
        <v>18</v>
      </c>
      <c r="AN64">
        <v>62</v>
      </c>
    </row>
    <row r="65" spans="1:40" x14ac:dyDescent="0.25">
      <c r="A65" s="20" t="s">
        <v>7</v>
      </c>
      <c r="B65" s="21" t="s">
        <v>8</v>
      </c>
      <c r="C65" s="20" t="s">
        <v>9</v>
      </c>
      <c r="D65" s="21" t="s">
        <v>542</v>
      </c>
      <c r="E65" s="20">
        <v>2018</v>
      </c>
      <c r="F65" s="20">
        <v>3</v>
      </c>
      <c r="G65" s="20" t="s">
        <v>329</v>
      </c>
      <c r="H65" s="20" t="s">
        <v>10</v>
      </c>
      <c r="I65" s="20" t="s">
        <v>376</v>
      </c>
      <c r="J65" s="20">
        <v>4010</v>
      </c>
      <c r="K65" s="20" t="s">
        <v>52</v>
      </c>
      <c r="L65" s="20" t="s">
        <v>52</v>
      </c>
      <c r="M65" s="22">
        <v>0.4694444444444445</v>
      </c>
      <c r="N65" s="22">
        <v>0.71875</v>
      </c>
      <c r="O65" s="20">
        <v>46</v>
      </c>
      <c r="P65" s="20">
        <v>67</v>
      </c>
      <c r="Q65" s="20" t="s">
        <v>543</v>
      </c>
      <c r="R65" s="20">
        <v>100</v>
      </c>
      <c r="S65" s="20" t="s">
        <v>11</v>
      </c>
      <c r="T65" s="20" t="s">
        <v>12</v>
      </c>
      <c r="U65" s="20" t="s">
        <v>13</v>
      </c>
      <c r="V65" s="20" t="s">
        <v>14</v>
      </c>
      <c r="W65" s="20" t="s">
        <v>15</v>
      </c>
      <c r="X65" s="20">
        <v>24053</v>
      </c>
      <c r="Y65" s="20">
        <v>359</v>
      </c>
      <c r="Z65" s="20">
        <v>4.514E-2</v>
      </c>
      <c r="AA65" s="20">
        <v>533754</v>
      </c>
      <c r="AB65" s="20">
        <v>4.5063830903374964E-2</v>
      </c>
      <c r="AC65" s="20">
        <v>0.27500000000000002</v>
      </c>
      <c r="AD65" s="20" t="s">
        <v>16</v>
      </c>
      <c r="AE65" s="20" t="s">
        <v>17</v>
      </c>
      <c r="AF65" s="20">
        <v>0</v>
      </c>
      <c r="AG65" s="20" t="s">
        <v>543</v>
      </c>
      <c r="AH65" s="20" t="s">
        <v>458</v>
      </c>
      <c r="AI65" s="20" t="s">
        <v>15</v>
      </c>
      <c r="AJ65" s="20">
        <v>-1</v>
      </c>
      <c r="AK65" s="20" t="s">
        <v>15</v>
      </c>
      <c r="AL65" s="20">
        <v>-1</v>
      </c>
      <c r="AM65" s="20" t="s">
        <v>18</v>
      </c>
      <c r="AN65">
        <v>63</v>
      </c>
    </row>
    <row r="66" spans="1:40" x14ac:dyDescent="0.25">
      <c r="A66" s="20" t="s">
        <v>7</v>
      </c>
      <c r="B66" s="21" t="s">
        <v>8</v>
      </c>
      <c r="C66" s="20" t="s">
        <v>9</v>
      </c>
      <c r="D66" s="21" t="s">
        <v>544</v>
      </c>
      <c r="E66" s="20">
        <v>2018</v>
      </c>
      <c r="F66" s="20">
        <v>3</v>
      </c>
      <c r="G66" s="20" t="s">
        <v>329</v>
      </c>
      <c r="H66" s="20" t="s">
        <v>10</v>
      </c>
      <c r="I66" s="20" t="s">
        <v>352</v>
      </c>
      <c r="J66" s="20">
        <v>5010</v>
      </c>
      <c r="K66" s="20" t="s">
        <v>52</v>
      </c>
      <c r="L66" s="20" t="s">
        <v>52</v>
      </c>
      <c r="M66" s="22">
        <v>0.56388888888888888</v>
      </c>
      <c r="N66" s="22">
        <v>0.90625</v>
      </c>
      <c r="O66" s="20">
        <v>41</v>
      </c>
      <c r="P66" s="20">
        <v>55</v>
      </c>
      <c r="Q66" s="20" t="s">
        <v>545</v>
      </c>
      <c r="R66" s="20">
        <v>100</v>
      </c>
      <c r="S66" s="20" t="s">
        <v>11</v>
      </c>
      <c r="T66" s="20" t="s">
        <v>12</v>
      </c>
      <c r="U66" s="20" t="s">
        <v>13</v>
      </c>
      <c r="V66" s="20" t="s">
        <v>14</v>
      </c>
      <c r="W66" s="20" t="s">
        <v>15</v>
      </c>
      <c r="X66" s="20">
        <v>27115</v>
      </c>
      <c r="Y66" s="20">
        <v>493</v>
      </c>
      <c r="Z66" s="20">
        <v>5.0886000000000001E-2</v>
      </c>
      <c r="AA66" s="20">
        <v>533754</v>
      </c>
      <c r="AB66" s="20">
        <v>5.0800556061406564E-2</v>
      </c>
      <c r="AC66" s="20">
        <v>0.33700000000000002</v>
      </c>
      <c r="AD66" s="20" t="s">
        <v>16</v>
      </c>
      <c r="AE66" s="20" t="s">
        <v>17</v>
      </c>
      <c r="AF66" s="20">
        <v>0</v>
      </c>
      <c r="AG66" s="20" t="s">
        <v>545</v>
      </c>
      <c r="AH66" s="20" t="s">
        <v>458</v>
      </c>
      <c r="AI66" s="20" t="s">
        <v>15</v>
      </c>
      <c r="AJ66" s="20">
        <v>-1</v>
      </c>
      <c r="AK66" s="20" t="s">
        <v>15</v>
      </c>
      <c r="AL66" s="20">
        <v>-1</v>
      </c>
      <c r="AM66" s="20" t="s">
        <v>18</v>
      </c>
      <c r="AN66">
        <v>64</v>
      </c>
    </row>
    <row r="67" spans="1:40" x14ac:dyDescent="0.25">
      <c r="A67" s="20" t="s">
        <v>7</v>
      </c>
      <c r="B67" s="21" t="s">
        <v>8</v>
      </c>
      <c r="C67" s="20" t="s">
        <v>9</v>
      </c>
      <c r="D67" s="21" t="s">
        <v>546</v>
      </c>
      <c r="E67" s="20">
        <v>2018</v>
      </c>
      <c r="F67" s="20">
        <v>3</v>
      </c>
      <c r="G67" s="20" t="s">
        <v>329</v>
      </c>
      <c r="H67" s="20" t="s">
        <v>10</v>
      </c>
      <c r="I67" s="20" t="s">
        <v>352</v>
      </c>
      <c r="J67" s="20">
        <v>4010</v>
      </c>
      <c r="K67" s="20" t="s">
        <v>52</v>
      </c>
      <c r="L67" s="20" t="s">
        <v>52</v>
      </c>
      <c r="M67" s="22">
        <v>0.69652777777777775</v>
      </c>
      <c r="N67" s="22">
        <v>0.97222222222222221</v>
      </c>
      <c r="O67" s="20">
        <v>59</v>
      </c>
      <c r="P67" s="20">
        <v>70</v>
      </c>
      <c r="Q67" s="20" t="s">
        <v>547</v>
      </c>
      <c r="R67" s="20">
        <v>100</v>
      </c>
      <c r="S67" s="20" t="s">
        <v>11</v>
      </c>
      <c r="T67" s="20" t="s">
        <v>12</v>
      </c>
      <c r="U67" s="20" t="s">
        <v>13</v>
      </c>
      <c r="V67" s="20" t="s">
        <v>14</v>
      </c>
      <c r="W67" s="20" t="s">
        <v>15</v>
      </c>
      <c r="X67" s="20">
        <v>27790</v>
      </c>
      <c r="Y67" s="20">
        <v>397</v>
      </c>
      <c r="Z67" s="20">
        <v>5.2152999999999998E-2</v>
      </c>
      <c r="AA67" s="20">
        <v>533754</v>
      </c>
      <c r="AB67" s="20">
        <v>5.2065183586446191E-2</v>
      </c>
      <c r="AC67" s="20">
        <v>0.39</v>
      </c>
      <c r="AD67" s="20" t="s">
        <v>16</v>
      </c>
      <c r="AE67" s="20" t="s">
        <v>17</v>
      </c>
      <c r="AF67" s="20">
        <v>0</v>
      </c>
      <c r="AG67" s="20" t="s">
        <v>547</v>
      </c>
      <c r="AH67" s="20" t="s">
        <v>458</v>
      </c>
      <c r="AI67" s="20" t="s">
        <v>15</v>
      </c>
      <c r="AJ67" s="20">
        <v>-1</v>
      </c>
      <c r="AK67" s="20" t="s">
        <v>15</v>
      </c>
      <c r="AL67" s="20">
        <v>-1</v>
      </c>
      <c r="AM67" s="20" t="s">
        <v>18</v>
      </c>
      <c r="AN67">
        <v>65</v>
      </c>
    </row>
    <row r="68" spans="1:40" x14ac:dyDescent="0.25">
      <c r="A68" s="20" t="s">
        <v>7</v>
      </c>
      <c r="B68" s="21" t="s">
        <v>8</v>
      </c>
      <c r="C68" s="20" t="s">
        <v>9</v>
      </c>
      <c r="D68" s="21" t="s">
        <v>548</v>
      </c>
      <c r="E68" s="20">
        <v>2018</v>
      </c>
      <c r="F68" s="20">
        <v>3</v>
      </c>
      <c r="G68" s="20" t="s">
        <v>329</v>
      </c>
      <c r="H68" s="20" t="s">
        <v>10</v>
      </c>
      <c r="I68" s="20" t="s">
        <v>376</v>
      </c>
      <c r="J68" s="20">
        <v>4010</v>
      </c>
      <c r="K68" s="20" t="s">
        <v>52</v>
      </c>
      <c r="L68" s="20" t="s">
        <v>52</v>
      </c>
      <c r="M68" s="22">
        <v>0.68402777777777779</v>
      </c>
      <c r="N68" s="22">
        <v>0.77916666666666667</v>
      </c>
      <c r="O68" s="20">
        <v>45</v>
      </c>
      <c r="P68" s="20">
        <v>100</v>
      </c>
      <c r="Q68" s="20" t="s">
        <v>549</v>
      </c>
      <c r="R68" s="20">
        <v>100</v>
      </c>
      <c r="S68" s="20" t="s">
        <v>11</v>
      </c>
      <c r="T68" s="20" t="s">
        <v>12</v>
      </c>
      <c r="U68" s="20" t="s">
        <v>13</v>
      </c>
      <c r="V68" s="20" t="s">
        <v>14</v>
      </c>
      <c r="W68" s="20" t="s">
        <v>15</v>
      </c>
      <c r="X68" s="20">
        <v>13700</v>
      </c>
      <c r="Y68" s="20">
        <v>137</v>
      </c>
      <c r="Z68" s="20">
        <v>2.5711000000000001E-2</v>
      </c>
      <c r="AA68" s="20">
        <v>533754</v>
      </c>
      <c r="AB68" s="20">
        <v>2.5667254952656093E-2</v>
      </c>
      <c r="AC68" s="20">
        <v>0.10299999999999999</v>
      </c>
      <c r="AD68" s="20" t="s">
        <v>16</v>
      </c>
      <c r="AE68" s="20" t="s">
        <v>17</v>
      </c>
      <c r="AF68" s="20">
        <v>0</v>
      </c>
      <c r="AG68" s="20" t="s">
        <v>549</v>
      </c>
      <c r="AH68" s="20" t="s">
        <v>458</v>
      </c>
      <c r="AI68" s="20" t="s">
        <v>15</v>
      </c>
      <c r="AJ68" s="20">
        <v>-1</v>
      </c>
      <c r="AK68" s="20" t="s">
        <v>15</v>
      </c>
      <c r="AL68" s="20">
        <v>-1</v>
      </c>
      <c r="AM68" s="20" t="s">
        <v>18</v>
      </c>
      <c r="AN68">
        <v>66</v>
      </c>
    </row>
    <row r="69" spans="1:40" x14ac:dyDescent="0.25">
      <c r="A69" s="20" t="s">
        <v>7</v>
      </c>
      <c r="B69" s="21" t="s">
        <v>8</v>
      </c>
      <c r="C69" s="20" t="s">
        <v>9</v>
      </c>
      <c r="D69" s="21" t="s">
        <v>550</v>
      </c>
      <c r="E69" s="20">
        <v>2018</v>
      </c>
      <c r="F69" s="20">
        <v>3</v>
      </c>
      <c r="G69" s="20" t="s">
        <v>449</v>
      </c>
      <c r="H69" s="20" t="s">
        <v>10</v>
      </c>
      <c r="I69" s="20" t="s">
        <v>551</v>
      </c>
      <c r="J69" s="20">
        <v>4025</v>
      </c>
      <c r="K69" s="20" t="s">
        <v>52</v>
      </c>
      <c r="L69" s="20" t="s">
        <v>52</v>
      </c>
      <c r="M69" s="22">
        <v>0.36805555555555558</v>
      </c>
      <c r="N69" s="22">
        <v>0.41597222222222219</v>
      </c>
      <c r="O69" s="20">
        <v>36</v>
      </c>
      <c r="P69" s="20">
        <v>46</v>
      </c>
      <c r="Q69" s="20" t="s">
        <v>20</v>
      </c>
      <c r="R69" s="20">
        <v>100</v>
      </c>
      <c r="S69" s="20" t="s">
        <v>11</v>
      </c>
      <c r="T69" s="20" t="s">
        <v>19</v>
      </c>
      <c r="U69" s="20" t="s">
        <v>13</v>
      </c>
      <c r="V69" s="20" t="s">
        <v>14</v>
      </c>
      <c r="W69" s="20" t="s">
        <v>15</v>
      </c>
      <c r="X69" s="20">
        <v>3174</v>
      </c>
      <c r="Y69" s="20">
        <v>69</v>
      </c>
      <c r="Z69" s="20">
        <v>5.9569999999999996E-3</v>
      </c>
      <c r="AA69" s="20">
        <v>533754</v>
      </c>
      <c r="AB69" s="20">
        <v>5.9465596510752143E-3</v>
      </c>
      <c r="AC69" s="20">
        <v>4.1000000000000002E-2</v>
      </c>
      <c r="AD69" s="20" t="s">
        <v>16</v>
      </c>
      <c r="AE69" s="20" t="s">
        <v>21</v>
      </c>
      <c r="AF69" s="20" t="s">
        <v>552</v>
      </c>
      <c r="AG69" s="20">
        <v>0</v>
      </c>
      <c r="AH69" s="20" t="s">
        <v>553</v>
      </c>
      <c r="AI69" s="20" t="s">
        <v>15</v>
      </c>
      <c r="AJ69" s="20">
        <v>-1</v>
      </c>
      <c r="AK69" s="20" t="s">
        <v>15</v>
      </c>
      <c r="AL69" s="20">
        <v>-1</v>
      </c>
      <c r="AM69" s="20" t="s">
        <v>18</v>
      </c>
      <c r="AN69">
        <v>67</v>
      </c>
    </row>
    <row r="70" spans="1:40" x14ac:dyDescent="0.25">
      <c r="A70" s="20" t="s">
        <v>7</v>
      </c>
      <c r="B70" s="21" t="s">
        <v>8</v>
      </c>
      <c r="C70" s="20" t="s">
        <v>9</v>
      </c>
      <c r="D70" s="21" t="s">
        <v>227</v>
      </c>
      <c r="E70" s="20">
        <v>2018</v>
      </c>
      <c r="F70" s="20">
        <v>3</v>
      </c>
      <c r="G70" s="20" t="s">
        <v>9</v>
      </c>
      <c r="H70" s="20" t="s">
        <v>10</v>
      </c>
      <c r="I70" s="20" t="s">
        <v>208</v>
      </c>
      <c r="J70" s="20">
        <v>4010</v>
      </c>
      <c r="K70" s="20" t="s">
        <v>52</v>
      </c>
      <c r="L70" s="20" t="s">
        <v>52</v>
      </c>
      <c r="M70" s="22">
        <v>0.34722222222222227</v>
      </c>
      <c r="N70" s="22">
        <v>0.5708333333333333</v>
      </c>
      <c r="O70" s="20">
        <v>61</v>
      </c>
      <c r="P70" s="20">
        <v>120</v>
      </c>
      <c r="Q70" s="20" t="s">
        <v>228</v>
      </c>
      <c r="R70" s="20">
        <v>100</v>
      </c>
      <c r="S70" s="20" t="s">
        <v>11</v>
      </c>
      <c r="T70" s="20" t="s">
        <v>27</v>
      </c>
      <c r="U70" s="20" t="s">
        <v>13</v>
      </c>
      <c r="V70" s="20" t="s">
        <v>14</v>
      </c>
      <c r="W70" s="20" t="s">
        <v>15</v>
      </c>
      <c r="X70" s="20">
        <v>38640</v>
      </c>
      <c r="Y70" s="20">
        <v>322</v>
      </c>
      <c r="Z70" s="20">
        <v>7.2514999999999996E-2</v>
      </c>
      <c r="AA70" s="20">
        <v>533754</v>
      </c>
      <c r="AB70" s="20">
        <v>7.2392900100046093E-2</v>
      </c>
      <c r="AC70" s="20">
        <v>0.32700000000000001</v>
      </c>
      <c r="AD70" s="20" t="s">
        <v>16</v>
      </c>
      <c r="AE70" s="20" t="s">
        <v>17</v>
      </c>
      <c r="AF70" s="20">
        <v>0</v>
      </c>
      <c r="AG70" s="20" t="s">
        <v>228</v>
      </c>
      <c r="AH70" s="20" t="s">
        <v>211</v>
      </c>
      <c r="AI70" s="20" t="s">
        <v>15</v>
      </c>
      <c r="AJ70" s="20">
        <v>-1</v>
      </c>
      <c r="AK70" s="20" t="s">
        <v>15</v>
      </c>
      <c r="AL70" s="20">
        <v>-1</v>
      </c>
      <c r="AM70" s="20" t="s">
        <v>229</v>
      </c>
      <c r="AN70">
        <v>68</v>
      </c>
    </row>
    <row r="71" spans="1:40" x14ac:dyDescent="0.25">
      <c r="A71" s="20" t="s">
        <v>7</v>
      </c>
      <c r="B71" s="21" t="s">
        <v>8</v>
      </c>
      <c r="C71" s="20" t="s">
        <v>9</v>
      </c>
      <c r="D71" s="21" t="s">
        <v>554</v>
      </c>
      <c r="E71" s="20">
        <v>2018</v>
      </c>
      <c r="F71" s="20">
        <v>3</v>
      </c>
      <c r="G71" s="20" t="s">
        <v>323</v>
      </c>
      <c r="H71" s="20" t="s">
        <v>10</v>
      </c>
      <c r="I71" s="20" t="s">
        <v>381</v>
      </c>
      <c r="J71" s="20">
        <v>4010</v>
      </c>
      <c r="K71" s="20" t="s">
        <v>555</v>
      </c>
      <c r="L71" s="20" t="s">
        <v>555</v>
      </c>
      <c r="M71" s="22">
        <v>0.61875000000000002</v>
      </c>
      <c r="N71" s="22">
        <v>0.71180555555555547</v>
      </c>
      <c r="O71" s="20">
        <v>4</v>
      </c>
      <c r="P71" s="20">
        <v>71</v>
      </c>
      <c r="Q71" s="20" t="s">
        <v>556</v>
      </c>
      <c r="R71" s="20">
        <v>100</v>
      </c>
      <c r="S71" s="20" t="s">
        <v>11</v>
      </c>
      <c r="T71" s="20" t="s">
        <v>12</v>
      </c>
      <c r="U71" s="20" t="s">
        <v>13</v>
      </c>
      <c r="V71" s="20" t="s">
        <v>14</v>
      </c>
      <c r="W71" s="20" t="s">
        <v>15</v>
      </c>
      <c r="X71" s="20">
        <v>9514</v>
      </c>
      <c r="Y71" s="20">
        <v>134</v>
      </c>
      <c r="Z71" s="20">
        <v>1.7854999999999999E-2</v>
      </c>
      <c r="AA71" s="20">
        <v>533754</v>
      </c>
      <c r="AB71" s="20">
        <v>1.78246907751511E-2</v>
      </c>
      <c r="AC71" s="20">
        <v>8.9999999999999993E-3</v>
      </c>
      <c r="AD71" s="20" t="s">
        <v>16</v>
      </c>
      <c r="AE71" s="20" t="s">
        <v>17</v>
      </c>
      <c r="AF71" s="20">
        <v>0</v>
      </c>
      <c r="AG71" s="20" t="s">
        <v>556</v>
      </c>
      <c r="AH71" s="20" t="s">
        <v>45</v>
      </c>
      <c r="AI71" s="20" t="s">
        <v>15</v>
      </c>
      <c r="AJ71" s="20">
        <v>-1</v>
      </c>
      <c r="AK71" s="20" t="s">
        <v>15</v>
      </c>
      <c r="AL71" s="20">
        <v>-1</v>
      </c>
      <c r="AM71" s="20" t="s">
        <v>557</v>
      </c>
      <c r="AN71">
        <v>69</v>
      </c>
    </row>
    <row r="72" spans="1:40" x14ac:dyDescent="0.25">
      <c r="A72" s="20" t="s">
        <v>7</v>
      </c>
      <c r="B72" s="21" t="s">
        <v>8</v>
      </c>
      <c r="C72" s="20" t="s">
        <v>9</v>
      </c>
      <c r="D72" s="21" t="s">
        <v>558</v>
      </c>
      <c r="E72" s="20">
        <v>2018</v>
      </c>
      <c r="F72" s="20">
        <v>3</v>
      </c>
      <c r="G72" s="20" t="s">
        <v>329</v>
      </c>
      <c r="H72" s="20" t="s">
        <v>10</v>
      </c>
      <c r="I72" s="20" t="s">
        <v>352</v>
      </c>
      <c r="J72" s="20">
        <v>4010</v>
      </c>
      <c r="K72" s="20" t="s">
        <v>559</v>
      </c>
      <c r="L72" s="20" t="s">
        <v>559</v>
      </c>
      <c r="M72" s="22">
        <v>0.45624999999999999</v>
      </c>
      <c r="N72" s="22">
        <v>0.56388888888888888</v>
      </c>
      <c r="O72" s="20">
        <v>10</v>
      </c>
      <c r="P72" s="20">
        <v>13</v>
      </c>
      <c r="Q72" s="20" t="s">
        <v>560</v>
      </c>
      <c r="R72" s="20">
        <v>100</v>
      </c>
      <c r="S72" s="20" t="s">
        <v>11</v>
      </c>
      <c r="T72" s="20" t="s">
        <v>12</v>
      </c>
      <c r="U72" s="20" t="s">
        <v>13</v>
      </c>
      <c r="V72" s="20" t="s">
        <v>14</v>
      </c>
      <c r="W72" s="20" t="s">
        <v>15</v>
      </c>
      <c r="X72" s="20">
        <v>2015</v>
      </c>
      <c r="Y72" s="20">
        <v>155</v>
      </c>
      <c r="Z72" s="20">
        <v>3.7820000000000002E-3</v>
      </c>
      <c r="AA72" s="20">
        <v>533754</v>
      </c>
      <c r="AB72" s="20">
        <v>3.7751473525256952E-3</v>
      </c>
      <c r="AC72" s="20">
        <v>2.5999999999999999E-2</v>
      </c>
      <c r="AD72" s="20" t="s">
        <v>16</v>
      </c>
      <c r="AE72" s="20" t="s">
        <v>17</v>
      </c>
      <c r="AF72" s="20">
        <v>0</v>
      </c>
      <c r="AG72" s="20" t="s">
        <v>560</v>
      </c>
      <c r="AH72" s="20" t="s">
        <v>561</v>
      </c>
      <c r="AI72" s="20" t="s">
        <v>15</v>
      </c>
      <c r="AJ72" s="20">
        <v>-1</v>
      </c>
      <c r="AK72" s="20" t="s">
        <v>15</v>
      </c>
      <c r="AL72" s="20">
        <v>-1</v>
      </c>
      <c r="AM72" s="20" t="s">
        <v>562</v>
      </c>
      <c r="AN72">
        <v>70</v>
      </c>
    </row>
    <row r="73" spans="1:40" x14ac:dyDescent="0.25">
      <c r="A73" s="20" t="s">
        <v>7</v>
      </c>
      <c r="B73" s="21" t="s">
        <v>8</v>
      </c>
      <c r="C73" s="20" t="s">
        <v>9</v>
      </c>
      <c r="D73" s="21" t="s">
        <v>563</v>
      </c>
      <c r="E73" s="20">
        <v>2018</v>
      </c>
      <c r="F73" s="20">
        <v>3</v>
      </c>
      <c r="G73" s="20" t="s">
        <v>329</v>
      </c>
      <c r="H73" s="20" t="s">
        <v>10</v>
      </c>
      <c r="I73" s="20" t="s">
        <v>376</v>
      </c>
      <c r="J73" s="20">
        <v>4010</v>
      </c>
      <c r="K73" s="20" t="s">
        <v>559</v>
      </c>
      <c r="L73" s="20" t="s">
        <v>559</v>
      </c>
      <c r="M73" s="22">
        <v>0.76874999999999993</v>
      </c>
      <c r="N73" s="22">
        <v>0.90277777777777779</v>
      </c>
      <c r="O73" s="20">
        <v>45</v>
      </c>
      <c r="P73" s="20">
        <v>100</v>
      </c>
      <c r="Q73" s="20" t="s">
        <v>564</v>
      </c>
      <c r="R73" s="20">
        <v>100</v>
      </c>
      <c r="S73" s="20" t="s">
        <v>11</v>
      </c>
      <c r="T73" s="20" t="s">
        <v>12</v>
      </c>
      <c r="U73" s="20" t="s">
        <v>13</v>
      </c>
      <c r="V73" s="20" t="s">
        <v>14</v>
      </c>
      <c r="W73" s="20" t="s">
        <v>15</v>
      </c>
      <c r="X73" s="20">
        <v>19300</v>
      </c>
      <c r="Y73" s="20">
        <v>193</v>
      </c>
      <c r="Z73" s="20">
        <v>3.6220000000000002E-2</v>
      </c>
      <c r="AA73" s="20">
        <v>533754</v>
      </c>
      <c r="AB73" s="20">
        <v>3.6158979604836688E-2</v>
      </c>
      <c r="AC73" s="20">
        <v>0.14499999999999999</v>
      </c>
      <c r="AD73" s="20" t="s">
        <v>16</v>
      </c>
      <c r="AE73" s="20" t="s">
        <v>17</v>
      </c>
      <c r="AF73" s="20">
        <v>0</v>
      </c>
      <c r="AG73" s="20" t="s">
        <v>564</v>
      </c>
      <c r="AH73" s="20" t="s">
        <v>458</v>
      </c>
      <c r="AI73" s="20" t="s">
        <v>15</v>
      </c>
      <c r="AJ73" s="20">
        <v>-1</v>
      </c>
      <c r="AK73" s="20" t="s">
        <v>15</v>
      </c>
      <c r="AL73" s="20">
        <v>-1</v>
      </c>
      <c r="AM73" s="20" t="s">
        <v>565</v>
      </c>
      <c r="AN73">
        <v>71</v>
      </c>
    </row>
    <row r="74" spans="1:40" x14ac:dyDescent="0.25">
      <c r="A74" s="20" t="s">
        <v>7</v>
      </c>
      <c r="B74" s="21" t="s">
        <v>8</v>
      </c>
      <c r="C74" s="20" t="s">
        <v>9</v>
      </c>
      <c r="D74" s="21" t="s">
        <v>230</v>
      </c>
      <c r="E74" s="20">
        <v>2018</v>
      </c>
      <c r="F74" s="20">
        <v>3</v>
      </c>
      <c r="G74" s="20" t="s">
        <v>9</v>
      </c>
      <c r="H74" s="20" t="s">
        <v>10</v>
      </c>
      <c r="I74" s="20" t="s">
        <v>187</v>
      </c>
      <c r="J74" s="20">
        <v>4012</v>
      </c>
      <c r="K74" s="20" t="s">
        <v>231</v>
      </c>
      <c r="L74" s="20" t="s">
        <v>231</v>
      </c>
      <c r="M74" s="22">
        <v>0.51597222222222217</v>
      </c>
      <c r="N74" s="22">
        <v>0.78263888888888899</v>
      </c>
      <c r="O74" s="20">
        <v>37</v>
      </c>
      <c r="P74" s="20">
        <v>68</v>
      </c>
      <c r="Q74" s="20" t="s">
        <v>232</v>
      </c>
      <c r="R74" s="20">
        <v>100</v>
      </c>
      <c r="S74" s="20" t="s">
        <v>11</v>
      </c>
      <c r="T74" s="20" t="s">
        <v>12</v>
      </c>
      <c r="U74" s="20" t="s">
        <v>13</v>
      </c>
      <c r="V74" s="20" t="s">
        <v>14</v>
      </c>
      <c r="W74" s="20" t="s">
        <v>15</v>
      </c>
      <c r="X74" s="20">
        <v>26112</v>
      </c>
      <c r="Y74" s="20">
        <v>384</v>
      </c>
      <c r="Z74" s="20">
        <v>4.9003999999999999E-2</v>
      </c>
      <c r="AA74" s="20">
        <v>533754</v>
      </c>
      <c r="AB74" s="20">
        <v>4.892141323531065E-2</v>
      </c>
      <c r="AC74" s="20">
        <v>0.23699999999999999</v>
      </c>
      <c r="AD74" s="20" t="s">
        <v>16</v>
      </c>
      <c r="AE74" s="20" t="s">
        <v>17</v>
      </c>
      <c r="AF74" s="20">
        <v>0</v>
      </c>
      <c r="AG74" s="20" t="s">
        <v>232</v>
      </c>
      <c r="AH74" s="20" t="s">
        <v>45</v>
      </c>
      <c r="AI74" s="20" t="s">
        <v>15</v>
      </c>
      <c r="AJ74" s="20">
        <v>-1</v>
      </c>
      <c r="AK74" s="20" t="s">
        <v>15</v>
      </c>
      <c r="AL74" s="20">
        <v>-1</v>
      </c>
      <c r="AM74" s="20" t="s">
        <v>233</v>
      </c>
      <c r="AN74">
        <v>72</v>
      </c>
    </row>
    <row r="75" spans="1:40" x14ac:dyDescent="0.25">
      <c r="A75" s="20" t="s">
        <v>7</v>
      </c>
      <c r="B75" s="21" t="s">
        <v>8</v>
      </c>
      <c r="C75" s="20" t="s">
        <v>9</v>
      </c>
      <c r="D75" s="21" t="s">
        <v>566</v>
      </c>
      <c r="E75" s="20">
        <v>2018</v>
      </c>
      <c r="F75" s="20">
        <v>3</v>
      </c>
      <c r="G75" s="20" t="s">
        <v>342</v>
      </c>
      <c r="H75" s="20" t="s">
        <v>342</v>
      </c>
      <c r="I75" s="20" t="s">
        <v>366</v>
      </c>
      <c r="J75" s="20">
        <v>4100</v>
      </c>
      <c r="K75" s="20" t="s">
        <v>231</v>
      </c>
      <c r="L75" s="20" t="s">
        <v>231</v>
      </c>
      <c r="M75" s="22">
        <v>0.57777777777777783</v>
      </c>
      <c r="N75" s="22">
        <v>0.6069444444444444</v>
      </c>
      <c r="O75" s="20">
        <v>52</v>
      </c>
      <c r="P75" s="20">
        <v>109</v>
      </c>
      <c r="Q75" s="20" t="s">
        <v>567</v>
      </c>
      <c r="R75" s="20">
        <v>0</v>
      </c>
      <c r="S75" s="20" t="s">
        <v>11</v>
      </c>
      <c r="T75" s="20" t="s">
        <v>243</v>
      </c>
      <c r="U75" s="20" t="s">
        <v>13</v>
      </c>
      <c r="V75" s="20" t="s">
        <v>14</v>
      </c>
      <c r="W75" s="20" t="s">
        <v>15</v>
      </c>
      <c r="X75" s="20">
        <v>4578</v>
      </c>
      <c r="Y75" s="20">
        <v>42</v>
      </c>
      <c r="Z75" s="20">
        <v>8.5909999999999997E-3</v>
      </c>
      <c r="AA75" s="20">
        <v>533754</v>
      </c>
      <c r="AB75" s="20">
        <v>8.5769849031576348E-3</v>
      </c>
      <c r="AC75" s="20">
        <v>3.5999999999999997E-2</v>
      </c>
      <c r="AD75" s="20" t="s">
        <v>16</v>
      </c>
      <c r="AE75" s="20" t="s">
        <v>17</v>
      </c>
      <c r="AF75" s="20">
        <v>0</v>
      </c>
      <c r="AG75" s="20" t="s">
        <v>567</v>
      </c>
      <c r="AH75" s="20" t="s">
        <v>386</v>
      </c>
      <c r="AI75" s="20" t="s">
        <v>15</v>
      </c>
      <c r="AJ75" s="20">
        <v>1735</v>
      </c>
      <c r="AK75" s="20" t="s">
        <v>15</v>
      </c>
      <c r="AL75" s="20">
        <v>-1</v>
      </c>
      <c r="AM75" s="20" t="s">
        <v>568</v>
      </c>
      <c r="AN75">
        <v>73</v>
      </c>
    </row>
    <row r="76" spans="1:40" x14ac:dyDescent="0.25">
      <c r="A76" s="20" t="s">
        <v>7</v>
      </c>
      <c r="B76" s="21" t="s">
        <v>8</v>
      </c>
      <c r="C76" s="20" t="s">
        <v>9</v>
      </c>
      <c r="D76" s="21" t="s">
        <v>569</v>
      </c>
      <c r="E76" s="20">
        <v>2018</v>
      </c>
      <c r="F76" s="20">
        <v>3</v>
      </c>
      <c r="G76" s="20" t="s">
        <v>342</v>
      </c>
      <c r="H76" s="20" t="s">
        <v>342</v>
      </c>
      <c r="I76" s="20" t="s">
        <v>361</v>
      </c>
      <c r="J76" s="20">
        <v>4040</v>
      </c>
      <c r="K76" s="20" t="s">
        <v>231</v>
      </c>
      <c r="L76" s="20" t="s">
        <v>231</v>
      </c>
      <c r="M76" s="22">
        <v>0.33819444444444446</v>
      </c>
      <c r="N76" s="22">
        <v>0.41111111111111115</v>
      </c>
      <c r="O76" s="20">
        <v>60</v>
      </c>
      <c r="P76" s="20">
        <v>86</v>
      </c>
      <c r="Q76" s="20" t="s">
        <v>570</v>
      </c>
      <c r="R76" s="20">
        <v>0</v>
      </c>
      <c r="S76" s="20" t="s">
        <v>11</v>
      </c>
      <c r="T76" s="20" t="s">
        <v>12</v>
      </c>
      <c r="U76" s="20" t="s">
        <v>13</v>
      </c>
      <c r="V76" s="20" t="s">
        <v>14</v>
      </c>
      <c r="W76" s="20" t="s">
        <v>15</v>
      </c>
      <c r="X76" s="20">
        <v>9030</v>
      </c>
      <c r="Y76" s="20">
        <v>105</v>
      </c>
      <c r="Z76" s="20">
        <v>1.6947E-2</v>
      </c>
      <c r="AA76" s="20">
        <v>533754</v>
      </c>
      <c r="AB76" s="20">
        <v>1.6917906001641204E-2</v>
      </c>
      <c r="AC76" s="20">
        <v>0.105</v>
      </c>
      <c r="AD76" s="20" t="s">
        <v>16</v>
      </c>
      <c r="AE76" s="20" t="s">
        <v>17</v>
      </c>
      <c r="AF76" s="20">
        <v>0</v>
      </c>
      <c r="AG76" s="20" t="s">
        <v>570</v>
      </c>
      <c r="AH76" s="20" t="s">
        <v>386</v>
      </c>
      <c r="AI76" s="20" t="s">
        <v>15</v>
      </c>
      <c r="AJ76" s="20">
        <v>-1</v>
      </c>
      <c r="AK76" s="20" t="s">
        <v>15</v>
      </c>
      <c r="AL76" s="20">
        <v>-1</v>
      </c>
      <c r="AM76" s="20" t="s">
        <v>571</v>
      </c>
      <c r="AN76">
        <v>74</v>
      </c>
    </row>
    <row r="77" spans="1:40" x14ac:dyDescent="0.25">
      <c r="A77" s="20" t="s">
        <v>7</v>
      </c>
      <c r="B77" s="21" t="s">
        <v>8</v>
      </c>
      <c r="C77" s="20" t="s">
        <v>9</v>
      </c>
      <c r="D77" s="21" t="s">
        <v>572</v>
      </c>
      <c r="E77" s="20">
        <v>2018</v>
      </c>
      <c r="F77" s="20">
        <v>3</v>
      </c>
      <c r="G77" s="20" t="s">
        <v>323</v>
      </c>
      <c r="H77" s="20" t="s">
        <v>10</v>
      </c>
      <c r="I77" s="20" t="s">
        <v>324</v>
      </c>
      <c r="J77" s="20">
        <v>4020</v>
      </c>
      <c r="K77" s="20" t="s">
        <v>573</v>
      </c>
      <c r="L77" s="20" t="s">
        <v>573</v>
      </c>
      <c r="M77" s="22">
        <v>0.48819444444444443</v>
      </c>
      <c r="N77" s="22">
        <v>0.52152777777777781</v>
      </c>
      <c r="O77" s="20">
        <v>46</v>
      </c>
      <c r="P77" s="20">
        <v>104</v>
      </c>
      <c r="Q77" s="20" t="s">
        <v>574</v>
      </c>
      <c r="R77" s="20">
        <v>100</v>
      </c>
      <c r="S77" s="20" t="s">
        <v>11</v>
      </c>
      <c r="T77" s="20" t="s">
        <v>243</v>
      </c>
      <c r="U77" s="20" t="s">
        <v>13</v>
      </c>
      <c r="V77" s="20" t="s">
        <v>14</v>
      </c>
      <c r="W77" s="20" t="s">
        <v>15</v>
      </c>
      <c r="X77" s="20">
        <v>4992</v>
      </c>
      <c r="Y77" s="20">
        <v>48</v>
      </c>
      <c r="Z77" s="20">
        <v>9.3679999999999996E-3</v>
      </c>
      <c r="AA77" s="20">
        <v>533754</v>
      </c>
      <c r="AB77" s="20">
        <v>9.3526231185152714E-3</v>
      </c>
      <c r="AC77" s="20">
        <v>3.6999999999999998E-2</v>
      </c>
      <c r="AD77" s="20" t="s">
        <v>16</v>
      </c>
      <c r="AE77" s="20" t="s">
        <v>17</v>
      </c>
      <c r="AF77" s="20">
        <v>0</v>
      </c>
      <c r="AG77" s="20" t="s">
        <v>574</v>
      </c>
      <c r="AH77" s="20" t="s">
        <v>575</v>
      </c>
      <c r="AI77" s="20" t="s">
        <v>15</v>
      </c>
      <c r="AJ77" s="20">
        <v>1735</v>
      </c>
      <c r="AK77" s="20" t="s">
        <v>15</v>
      </c>
      <c r="AL77" s="20">
        <v>-1</v>
      </c>
      <c r="AM77" s="20" t="s">
        <v>18</v>
      </c>
      <c r="AN77">
        <v>75</v>
      </c>
    </row>
    <row r="78" spans="1:40" x14ac:dyDescent="0.25">
      <c r="A78" s="20" t="s">
        <v>7</v>
      </c>
      <c r="B78" s="21" t="s">
        <v>8</v>
      </c>
      <c r="C78" s="20" t="s">
        <v>9</v>
      </c>
      <c r="D78" s="21" t="s">
        <v>576</v>
      </c>
      <c r="E78" s="20">
        <v>2018</v>
      </c>
      <c r="F78" s="20">
        <v>3</v>
      </c>
      <c r="G78" s="20" t="s">
        <v>342</v>
      </c>
      <c r="H78" s="20" t="s">
        <v>342</v>
      </c>
      <c r="I78" s="20" t="s">
        <v>393</v>
      </c>
      <c r="J78" s="20">
        <v>4050</v>
      </c>
      <c r="K78" s="20" t="s">
        <v>235</v>
      </c>
      <c r="L78" s="20" t="s">
        <v>235</v>
      </c>
      <c r="M78" s="22">
        <v>0.36319444444444443</v>
      </c>
      <c r="N78" s="22">
        <v>0.47916666666666669</v>
      </c>
      <c r="O78" s="20">
        <v>50</v>
      </c>
      <c r="P78" s="20">
        <v>106</v>
      </c>
      <c r="Q78" s="20" t="s">
        <v>577</v>
      </c>
      <c r="R78" s="20">
        <v>0</v>
      </c>
      <c r="S78" s="20" t="s">
        <v>11</v>
      </c>
      <c r="T78" s="20" t="s">
        <v>12</v>
      </c>
      <c r="U78" s="20" t="s">
        <v>13</v>
      </c>
      <c r="V78" s="20" t="s">
        <v>14</v>
      </c>
      <c r="W78" s="20" t="s">
        <v>15</v>
      </c>
      <c r="X78" s="20">
        <v>17702</v>
      </c>
      <c r="Y78" s="20">
        <v>167</v>
      </c>
      <c r="Z78" s="20">
        <v>3.3221000000000001E-2</v>
      </c>
      <c r="AA78" s="20">
        <v>533754</v>
      </c>
      <c r="AB78" s="20">
        <v>3.3165091034446578E-2</v>
      </c>
      <c r="AC78" s="20">
        <v>0.13900000000000001</v>
      </c>
      <c r="AD78" s="20" t="s">
        <v>16</v>
      </c>
      <c r="AE78" s="20" t="s">
        <v>17</v>
      </c>
      <c r="AF78" s="20">
        <v>0</v>
      </c>
      <c r="AG78" s="20" t="s">
        <v>577</v>
      </c>
      <c r="AH78" s="20" t="s">
        <v>386</v>
      </c>
      <c r="AI78" s="20" t="s">
        <v>15</v>
      </c>
      <c r="AJ78" s="20">
        <v>-1</v>
      </c>
      <c r="AK78" s="20" t="s">
        <v>15</v>
      </c>
      <c r="AL78" s="20">
        <v>-1</v>
      </c>
      <c r="AM78" s="20" t="s">
        <v>578</v>
      </c>
      <c r="AN78">
        <v>76</v>
      </c>
    </row>
    <row r="79" spans="1:40" x14ac:dyDescent="0.25">
      <c r="A79" s="20" t="s">
        <v>7</v>
      </c>
      <c r="B79" s="21" t="s">
        <v>8</v>
      </c>
      <c r="C79" s="20" t="s">
        <v>9</v>
      </c>
      <c r="D79" s="21" t="s">
        <v>579</v>
      </c>
      <c r="E79" s="20">
        <v>2018</v>
      </c>
      <c r="F79" s="20">
        <v>3</v>
      </c>
      <c r="G79" s="20" t="s">
        <v>342</v>
      </c>
      <c r="H79" s="20" t="s">
        <v>342</v>
      </c>
      <c r="I79" s="20" t="s">
        <v>366</v>
      </c>
      <c r="J79" s="20">
        <v>4090</v>
      </c>
      <c r="K79" s="20" t="s">
        <v>235</v>
      </c>
      <c r="L79" s="20" t="s">
        <v>235</v>
      </c>
      <c r="M79" s="22">
        <v>0.41180555555555554</v>
      </c>
      <c r="N79" s="22">
        <v>0.51527777777777783</v>
      </c>
      <c r="O79" s="20">
        <v>320</v>
      </c>
      <c r="P79" s="20">
        <v>133</v>
      </c>
      <c r="Q79" s="20" t="s">
        <v>580</v>
      </c>
      <c r="R79" s="20">
        <v>0</v>
      </c>
      <c r="S79" s="20" t="s">
        <v>581</v>
      </c>
      <c r="T79" s="20" t="s">
        <v>12</v>
      </c>
      <c r="U79" s="20" t="s">
        <v>13</v>
      </c>
      <c r="V79" s="20" t="s">
        <v>14</v>
      </c>
      <c r="W79" s="20" t="s">
        <v>15</v>
      </c>
      <c r="X79" s="20">
        <v>19817</v>
      </c>
      <c r="Y79" s="20">
        <v>149</v>
      </c>
      <c r="Z79" s="20">
        <v>3.7190000000000001E-2</v>
      </c>
      <c r="AA79" s="20">
        <v>533754</v>
      </c>
      <c r="AB79" s="20">
        <v>3.712759061290407E-2</v>
      </c>
      <c r="AC79" s="20">
        <v>0.79500000000000004</v>
      </c>
      <c r="AD79" s="20" t="s">
        <v>16</v>
      </c>
      <c r="AE79" s="20" t="s">
        <v>17</v>
      </c>
      <c r="AF79" s="20"/>
      <c r="AG79" s="20" t="s">
        <v>580</v>
      </c>
      <c r="AH79" s="20" t="s">
        <v>386</v>
      </c>
      <c r="AI79" s="20" t="s">
        <v>15</v>
      </c>
      <c r="AJ79" s="20">
        <v>-1</v>
      </c>
      <c r="AK79" s="20" t="s">
        <v>15</v>
      </c>
      <c r="AL79" s="20">
        <v>-1</v>
      </c>
      <c r="AM79" s="20" t="s">
        <v>582</v>
      </c>
      <c r="AN79">
        <v>77</v>
      </c>
    </row>
    <row r="80" spans="1:40" x14ac:dyDescent="0.25">
      <c r="A80" s="20" t="s">
        <v>7</v>
      </c>
      <c r="B80" s="21" t="s">
        <v>8</v>
      </c>
      <c r="C80" s="20" t="s">
        <v>9</v>
      </c>
      <c r="D80" s="21" t="s">
        <v>234</v>
      </c>
      <c r="E80" s="20">
        <v>2018</v>
      </c>
      <c r="F80" s="20">
        <v>3</v>
      </c>
      <c r="G80" s="20" t="s">
        <v>9</v>
      </c>
      <c r="H80" s="20" t="s">
        <v>10</v>
      </c>
      <c r="I80" s="20" t="s">
        <v>214</v>
      </c>
      <c r="J80" s="20">
        <v>4040</v>
      </c>
      <c r="K80" s="20" t="s">
        <v>235</v>
      </c>
      <c r="L80" s="20" t="s">
        <v>235</v>
      </c>
      <c r="M80" s="22">
        <v>0.37777777777777777</v>
      </c>
      <c r="N80" s="22">
        <v>0.62222222222222223</v>
      </c>
      <c r="O80" s="20">
        <v>2</v>
      </c>
      <c r="P80" s="20">
        <v>10</v>
      </c>
      <c r="Q80" s="20" t="s">
        <v>236</v>
      </c>
      <c r="R80" s="20">
        <v>100</v>
      </c>
      <c r="S80" s="20" t="s">
        <v>53</v>
      </c>
      <c r="T80" s="20" t="s">
        <v>19</v>
      </c>
      <c r="U80" s="20" t="s">
        <v>13</v>
      </c>
      <c r="V80" s="20" t="s">
        <v>14</v>
      </c>
      <c r="W80" s="20" t="s">
        <v>15</v>
      </c>
      <c r="X80" s="20">
        <v>3520</v>
      </c>
      <c r="Y80" s="20">
        <v>352</v>
      </c>
      <c r="Z80" s="20">
        <v>6.6059999999999999E-3</v>
      </c>
      <c r="AA80" s="20">
        <v>533754</v>
      </c>
      <c r="AB80" s="20">
        <v>6.5947983527992297E-3</v>
      </c>
      <c r="AC80" s="20">
        <v>1.2E-2</v>
      </c>
      <c r="AD80" s="20" t="s">
        <v>16</v>
      </c>
      <c r="AE80" s="20" t="s">
        <v>17</v>
      </c>
      <c r="AF80" s="20">
        <v>0</v>
      </c>
      <c r="AG80" s="20" t="s">
        <v>236</v>
      </c>
      <c r="AH80" s="20" t="s">
        <v>211</v>
      </c>
      <c r="AI80" s="20" t="s">
        <v>15</v>
      </c>
      <c r="AJ80" s="20">
        <v>-1</v>
      </c>
      <c r="AK80" s="20" t="s">
        <v>15</v>
      </c>
      <c r="AL80" s="20">
        <v>-1</v>
      </c>
      <c r="AM80" s="20" t="s">
        <v>237</v>
      </c>
      <c r="AN80">
        <v>78</v>
      </c>
    </row>
    <row r="81" spans="1:40" x14ac:dyDescent="0.25">
      <c r="A81" s="20" t="s">
        <v>7</v>
      </c>
      <c r="B81" s="21" t="s">
        <v>8</v>
      </c>
      <c r="C81" s="20" t="s">
        <v>9</v>
      </c>
      <c r="D81" s="21" t="s">
        <v>583</v>
      </c>
      <c r="E81" s="20">
        <v>2018</v>
      </c>
      <c r="F81" s="20">
        <v>3</v>
      </c>
      <c r="G81" s="20" t="s">
        <v>342</v>
      </c>
      <c r="H81" s="20" t="s">
        <v>342</v>
      </c>
      <c r="I81" s="20" t="s">
        <v>393</v>
      </c>
      <c r="J81" s="20">
        <v>4020</v>
      </c>
      <c r="K81" s="20" t="s">
        <v>584</v>
      </c>
      <c r="L81" s="20" t="s">
        <v>584</v>
      </c>
      <c r="M81" s="22">
        <v>0.57291666666666663</v>
      </c>
      <c r="N81" s="22">
        <v>0.63541666666666663</v>
      </c>
      <c r="O81" s="20">
        <v>80</v>
      </c>
      <c r="P81" s="20">
        <v>126</v>
      </c>
      <c r="Q81" s="20" t="s">
        <v>585</v>
      </c>
      <c r="R81" s="20">
        <v>0</v>
      </c>
      <c r="S81" s="20" t="s">
        <v>11</v>
      </c>
      <c r="T81" s="20" t="s">
        <v>12</v>
      </c>
      <c r="U81" s="20" t="s">
        <v>13</v>
      </c>
      <c r="V81" s="20" t="s">
        <v>14</v>
      </c>
      <c r="W81" s="20" t="s">
        <v>15</v>
      </c>
      <c r="X81" s="20">
        <v>11340</v>
      </c>
      <c r="Y81" s="20">
        <v>90</v>
      </c>
      <c r="Z81" s="20">
        <v>2.1281999999999999E-2</v>
      </c>
      <c r="AA81" s="20">
        <v>533754</v>
      </c>
      <c r="AB81" s="20">
        <v>2.1245742420665698E-2</v>
      </c>
      <c r="AC81" s="20">
        <v>0.12</v>
      </c>
      <c r="AD81" s="20" t="s">
        <v>16</v>
      </c>
      <c r="AE81" s="20" t="s">
        <v>17</v>
      </c>
      <c r="AF81" s="20">
        <v>0</v>
      </c>
      <c r="AG81" s="20" t="s">
        <v>585</v>
      </c>
      <c r="AH81" s="20" t="s">
        <v>363</v>
      </c>
      <c r="AI81" s="20" t="s">
        <v>15</v>
      </c>
      <c r="AJ81" s="20">
        <v>-1</v>
      </c>
      <c r="AK81" s="20" t="s">
        <v>15</v>
      </c>
      <c r="AL81" s="20">
        <v>-1</v>
      </c>
      <c r="AM81" s="20" t="s">
        <v>586</v>
      </c>
      <c r="AN81">
        <v>79</v>
      </c>
    </row>
    <row r="82" spans="1:40" x14ac:dyDescent="0.25">
      <c r="A82" s="20" t="s">
        <v>7</v>
      </c>
      <c r="B82" s="21" t="s">
        <v>8</v>
      </c>
      <c r="C82" s="20" t="s">
        <v>9</v>
      </c>
      <c r="D82" s="21" t="s">
        <v>587</v>
      </c>
      <c r="E82" s="20">
        <v>2018</v>
      </c>
      <c r="F82" s="20">
        <v>3</v>
      </c>
      <c r="G82" s="20" t="s">
        <v>323</v>
      </c>
      <c r="H82" s="20" t="s">
        <v>10</v>
      </c>
      <c r="I82" s="20" t="s">
        <v>381</v>
      </c>
      <c r="J82" s="20">
        <v>4030</v>
      </c>
      <c r="K82" s="20" t="s">
        <v>584</v>
      </c>
      <c r="L82" s="20" t="s">
        <v>584</v>
      </c>
      <c r="M82" s="22">
        <v>0.37083333333333335</v>
      </c>
      <c r="N82" s="22">
        <v>0.69166666666666676</v>
      </c>
      <c r="O82" s="20">
        <v>20</v>
      </c>
      <c r="P82" s="20">
        <v>70</v>
      </c>
      <c r="Q82" s="20" t="s">
        <v>588</v>
      </c>
      <c r="R82" s="20">
        <v>100</v>
      </c>
      <c r="S82" s="20" t="s">
        <v>433</v>
      </c>
      <c r="T82" s="20" t="s">
        <v>19</v>
      </c>
      <c r="U82" s="20" t="s">
        <v>13</v>
      </c>
      <c r="V82" s="20" t="s">
        <v>14</v>
      </c>
      <c r="W82" s="20"/>
      <c r="X82" s="20">
        <v>32340</v>
      </c>
      <c r="Y82" s="20">
        <v>462</v>
      </c>
      <c r="Z82" s="20">
        <v>6.0692000000000003E-2</v>
      </c>
      <c r="AA82" s="20">
        <v>533754</v>
      </c>
      <c r="AB82" s="20">
        <v>6.058970986634292E-2</v>
      </c>
      <c r="AC82" s="20">
        <v>0.154</v>
      </c>
      <c r="AD82" s="20" t="s">
        <v>16</v>
      </c>
      <c r="AE82" s="20" t="s">
        <v>17</v>
      </c>
      <c r="AF82" s="20">
        <v>0</v>
      </c>
      <c r="AG82" s="20" t="s">
        <v>588</v>
      </c>
      <c r="AH82" s="20" t="s">
        <v>589</v>
      </c>
      <c r="AI82" s="20" t="s">
        <v>15</v>
      </c>
      <c r="AJ82" s="20">
        <v>-1</v>
      </c>
      <c r="AK82" s="20" t="s">
        <v>15</v>
      </c>
      <c r="AL82" s="20">
        <v>-1</v>
      </c>
      <c r="AM82" s="20" t="s">
        <v>590</v>
      </c>
      <c r="AN82">
        <v>80</v>
      </c>
    </row>
    <row r="83" spans="1:40" x14ac:dyDescent="0.25">
      <c r="A83" s="20" t="s">
        <v>7</v>
      </c>
      <c r="B83" s="21" t="s">
        <v>8</v>
      </c>
      <c r="C83" s="20" t="s">
        <v>9</v>
      </c>
      <c r="D83" s="21" t="s">
        <v>591</v>
      </c>
      <c r="E83" s="20">
        <v>2018</v>
      </c>
      <c r="F83" s="20">
        <v>3</v>
      </c>
      <c r="G83" s="20" t="s">
        <v>323</v>
      </c>
      <c r="H83" s="20" t="s">
        <v>10</v>
      </c>
      <c r="I83" s="20" t="s">
        <v>489</v>
      </c>
      <c r="J83" s="20">
        <v>4042</v>
      </c>
      <c r="K83" s="20" t="s">
        <v>592</v>
      </c>
      <c r="L83" s="20" t="s">
        <v>592</v>
      </c>
      <c r="M83" s="22">
        <v>0.51111111111111118</v>
      </c>
      <c r="N83" s="22">
        <v>0.59722222222222221</v>
      </c>
      <c r="O83" s="20">
        <v>46</v>
      </c>
      <c r="P83" s="20">
        <v>245</v>
      </c>
      <c r="Q83" s="20" t="s">
        <v>593</v>
      </c>
      <c r="R83" s="20">
        <v>100</v>
      </c>
      <c r="S83" s="20" t="s">
        <v>11</v>
      </c>
      <c r="T83" s="20" t="s">
        <v>594</v>
      </c>
      <c r="U83" s="20" t="s">
        <v>13</v>
      </c>
      <c r="V83" s="20" t="s">
        <v>14</v>
      </c>
      <c r="W83" s="20" t="s">
        <v>15</v>
      </c>
      <c r="X83" s="20">
        <v>30380</v>
      </c>
      <c r="Y83" s="20">
        <v>124</v>
      </c>
      <c r="Z83" s="20">
        <v>5.7014000000000002E-2</v>
      </c>
      <c r="AA83" s="20">
        <v>533754</v>
      </c>
      <c r="AB83" s="20">
        <v>5.6917606238079711E-2</v>
      </c>
      <c r="AC83" s="20">
        <v>9.5000000000000001E-2</v>
      </c>
      <c r="AD83" s="20" t="s">
        <v>16</v>
      </c>
      <c r="AE83" s="20" t="s">
        <v>17</v>
      </c>
      <c r="AF83" s="20">
        <v>0</v>
      </c>
      <c r="AG83" s="20" t="s">
        <v>593</v>
      </c>
      <c r="AH83" s="20" t="s">
        <v>589</v>
      </c>
      <c r="AI83" s="20" t="s">
        <v>15</v>
      </c>
      <c r="AJ83" s="20">
        <v>1793</v>
      </c>
      <c r="AK83" s="20" t="s">
        <v>15</v>
      </c>
      <c r="AL83" s="20">
        <v>-1</v>
      </c>
      <c r="AM83" s="20" t="s">
        <v>595</v>
      </c>
      <c r="AN83">
        <v>81</v>
      </c>
    </row>
    <row r="84" spans="1:40" x14ac:dyDescent="0.25">
      <c r="A84" s="20" t="s">
        <v>7</v>
      </c>
      <c r="B84" s="21" t="s">
        <v>8</v>
      </c>
      <c r="C84" s="20" t="s">
        <v>9</v>
      </c>
      <c r="D84" s="21" t="s">
        <v>596</v>
      </c>
      <c r="E84" s="20">
        <v>2018</v>
      </c>
      <c r="F84" s="20">
        <v>3</v>
      </c>
      <c r="G84" s="20" t="s">
        <v>342</v>
      </c>
      <c r="H84" s="20" t="s">
        <v>342</v>
      </c>
      <c r="I84" s="20" t="s">
        <v>330</v>
      </c>
      <c r="J84" s="20">
        <v>4020</v>
      </c>
      <c r="K84" s="20" t="s">
        <v>592</v>
      </c>
      <c r="L84" s="20" t="s">
        <v>592</v>
      </c>
      <c r="M84" s="22">
        <v>0.3347222222222222</v>
      </c>
      <c r="N84" s="22">
        <v>0.56944444444444442</v>
      </c>
      <c r="O84" s="20">
        <v>150</v>
      </c>
      <c r="P84" s="20">
        <v>96</v>
      </c>
      <c r="Q84" s="20" t="s">
        <v>597</v>
      </c>
      <c r="R84" s="20">
        <v>0</v>
      </c>
      <c r="S84" s="20" t="s">
        <v>11</v>
      </c>
      <c r="T84" s="20" t="s">
        <v>12</v>
      </c>
      <c r="U84" s="20" t="s">
        <v>13</v>
      </c>
      <c r="V84" s="20" t="s">
        <v>14</v>
      </c>
      <c r="W84" s="20" t="s">
        <v>15</v>
      </c>
      <c r="X84" s="20">
        <v>32448</v>
      </c>
      <c r="Y84" s="20">
        <v>338</v>
      </c>
      <c r="Z84" s="20">
        <v>6.0894999999999998E-2</v>
      </c>
      <c r="AA84" s="20">
        <v>533754</v>
      </c>
      <c r="AB84" s="20">
        <v>6.0792050270349264E-2</v>
      </c>
      <c r="AC84" s="20">
        <v>0.84499999999999997</v>
      </c>
      <c r="AD84" s="20" t="s">
        <v>16</v>
      </c>
      <c r="AE84" s="20" t="s">
        <v>17</v>
      </c>
      <c r="AF84" s="20">
        <v>0</v>
      </c>
      <c r="AG84" s="20" t="s">
        <v>597</v>
      </c>
      <c r="AH84" s="20" t="s">
        <v>363</v>
      </c>
      <c r="AI84" s="20" t="s">
        <v>15</v>
      </c>
      <c r="AJ84" s="20">
        <v>-1</v>
      </c>
      <c r="AK84" s="20" t="s">
        <v>15</v>
      </c>
      <c r="AL84" s="20">
        <v>-1</v>
      </c>
      <c r="AM84" s="20" t="s">
        <v>598</v>
      </c>
      <c r="AN84">
        <v>82</v>
      </c>
    </row>
    <row r="85" spans="1:40" x14ac:dyDescent="0.25">
      <c r="A85" s="20" t="s">
        <v>7</v>
      </c>
      <c r="B85" s="21" t="s">
        <v>8</v>
      </c>
      <c r="C85" s="20" t="s">
        <v>9</v>
      </c>
      <c r="D85" s="21" t="s">
        <v>599</v>
      </c>
      <c r="E85" s="20">
        <v>2018</v>
      </c>
      <c r="F85" s="20">
        <v>3</v>
      </c>
      <c r="G85" s="20" t="s">
        <v>342</v>
      </c>
      <c r="H85" s="20" t="s">
        <v>342</v>
      </c>
      <c r="I85" s="20" t="s">
        <v>397</v>
      </c>
      <c r="J85" s="20">
        <v>4035</v>
      </c>
      <c r="K85" s="20" t="s">
        <v>592</v>
      </c>
      <c r="L85" s="20" t="s">
        <v>54</v>
      </c>
      <c r="M85" s="22">
        <v>0.73958333333333337</v>
      </c>
      <c r="N85" s="22">
        <v>4.1666666666666664E-2</v>
      </c>
      <c r="O85" s="20">
        <v>30</v>
      </c>
      <c r="P85" s="20">
        <v>80</v>
      </c>
      <c r="Q85" s="20" t="s">
        <v>600</v>
      </c>
      <c r="R85" s="20">
        <v>0</v>
      </c>
      <c r="S85" s="20" t="s">
        <v>601</v>
      </c>
      <c r="T85" s="20" t="s">
        <v>243</v>
      </c>
      <c r="U85" s="20" t="s">
        <v>13</v>
      </c>
      <c r="V85" s="20" t="s">
        <v>14</v>
      </c>
      <c r="W85" s="20" t="s">
        <v>15</v>
      </c>
      <c r="X85" s="20">
        <v>34800</v>
      </c>
      <c r="Y85" s="20">
        <v>435</v>
      </c>
      <c r="Z85" s="20">
        <v>6.5309000000000006E-2</v>
      </c>
      <c r="AA85" s="20">
        <v>533754</v>
      </c>
      <c r="AB85" s="20">
        <v>6.5198574624265107E-2</v>
      </c>
      <c r="AC85" s="20">
        <v>0.217</v>
      </c>
      <c r="AD85" s="20" t="s">
        <v>16</v>
      </c>
      <c r="AE85" s="20" t="s">
        <v>17</v>
      </c>
      <c r="AF85" s="20">
        <v>0</v>
      </c>
      <c r="AG85" s="20" t="s">
        <v>600</v>
      </c>
      <c r="AH85" s="20" t="s">
        <v>602</v>
      </c>
      <c r="AI85" s="20" t="s">
        <v>15</v>
      </c>
      <c r="AJ85" s="20">
        <v>1735</v>
      </c>
      <c r="AK85" s="20" t="s">
        <v>15</v>
      </c>
      <c r="AL85" s="20">
        <v>-1</v>
      </c>
      <c r="AM85" s="20" t="s">
        <v>603</v>
      </c>
      <c r="AN85">
        <v>83</v>
      </c>
    </row>
    <row r="86" spans="1:40" x14ac:dyDescent="0.25">
      <c r="A86" s="20" t="s">
        <v>7</v>
      </c>
      <c r="B86" s="21" t="s">
        <v>8</v>
      </c>
      <c r="C86" s="20" t="s">
        <v>9</v>
      </c>
      <c r="D86" s="21" t="s">
        <v>604</v>
      </c>
      <c r="E86" s="20">
        <v>2018</v>
      </c>
      <c r="F86" s="20">
        <v>3</v>
      </c>
      <c r="G86" s="20" t="s">
        <v>323</v>
      </c>
      <c r="H86" s="20" t="s">
        <v>10</v>
      </c>
      <c r="I86" s="20" t="s">
        <v>489</v>
      </c>
      <c r="J86" s="20">
        <v>4042</v>
      </c>
      <c r="K86" s="20" t="s">
        <v>54</v>
      </c>
      <c r="L86" s="20" t="s">
        <v>54</v>
      </c>
      <c r="M86" s="22">
        <v>0.48194444444444445</v>
      </c>
      <c r="N86" s="22">
        <v>0.83472222222222225</v>
      </c>
      <c r="O86" s="20">
        <v>46</v>
      </c>
      <c r="P86" s="20">
        <v>245</v>
      </c>
      <c r="Q86" s="20" t="s">
        <v>593</v>
      </c>
      <c r="R86" s="20">
        <v>100</v>
      </c>
      <c r="S86" s="20" t="s">
        <v>605</v>
      </c>
      <c r="T86" s="20" t="s">
        <v>606</v>
      </c>
      <c r="U86" s="20" t="s">
        <v>13</v>
      </c>
      <c r="V86" s="20" t="s">
        <v>14</v>
      </c>
      <c r="W86" s="20" t="s">
        <v>15</v>
      </c>
      <c r="X86" s="20">
        <v>124460</v>
      </c>
      <c r="Y86" s="20">
        <v>508</v>
      </c>
      <c r="Z86" s="20">
        <v>0.233573</v>
      </c>
      <c r="AA86" s="20">
        <v>533754</v>
      </c>
      <c r="AB86" s="20">
        <v>0.23317858039471367</v>
      </c>
      <c r="AC86" s="20">
        <v>0.39</v>
      </c>
      <c r="AD86" s="20" t="s">
        <v>16</v>
      </c>
      <c r="AE86" s="20" t="s">
        <v>17</v>
      </c>
      <c r="AF86" s="20">
        <v>0</v>
      </c>
      <c r="AG86" s="20" t="s">
        <v>593</v>
      </c>
      <c r="AH86" s="20" t="s">
        <v>607</v>
      </c>
      <c r="AI86" s="20" t="s">
        <v>15</v>
      </c>
      <c r="AJ86" s="20">
        <v>1757</v>
      </c>
      <c r="AK86" s="20" t="s">
        <v>15</v>
      </c>
      <c r="AL86" s="20">
        <v>-1</v>
      </c>
      <c r="AM86" s="20" t="s">
        <v>608</v>
      </c>
      <c r="AN86">
        <v>84</v>
      </c>
    </row>
    <row r="87" spans="1:40" x14ac:dyDescent="0.25">
      <c r="A87" s="20" t="s">
        <v>7</v>
      </c>
      <c r="B87" s="21" t="s">
        <v>8</v>
      </c>
      <c r="C87" s="20" t="s">
        <v>9</v>
      </c>
      <c r="D87" s="21" t="s">
        <v>609</v>
      </c>
      <c r="E87" s="20">
        <v>2018</v>
      </c>
      <c r="F87" s="20">
        <v>3</v>
      </c>
      <c r="G87" s="20" t="s">
        <v>329</v>
      </c>
      <c r="H87" s="20" t="s">
        <v>10</v>
      </c>
      <c r="I87" s="20" t="s">
        <v>430</v>
      </c>
      <c r="J87" s="20">
        <v>4032</v>
      </c>
      <c r="K87" s="20" t="s">
        <v>54</v>
      </c>
      <c r="L87" s="20" t="s">
        <v>54</v>
      </c>
      <c r="M87" s="22">
        <v>0.72569444444444453</v>
      </c>
      <c r="N87" s="22">
        <v>0.84027777777777779</v>
      </c>
      <c r="O87" s="20">
        <v>42</v>
      </c>
      <c r="P87" s="20">
        <v>71</v>
      </c>
      <c r="Q87" s="20" t="s">
        <v>610</v>
      </c>
      <c r="R87" s="20">
        <v>100</v>
      </c>
      <c r="S87" s="20" t="s">
        <v>11</v>
      </c>
      <c r="T87" s="20" t="s">
        <v>12</v>
      </c>
      <c r="U87" s="20" t="s">
        <v>13</v>
      </c>
      <c r="V87" s="20" t="s">
        <v>14</v>
      </c>
      <c r="W87" s="20" t="s">
        <v>15</v>
      </c>
      <c r="X87" s="20">
        <v>11715</v>
      </c>
      <c r="Y87" s="20">
        <v>165</v>
      </c>
      <c r="Z87" s="20">
        <v>2.1985000000000001E-2</v>
      </c>
      <c r="AA87" s="20">
        <v>533754</v>
      </c>
      <c r="AB87" s="20">
        <v>2.1948313267909934E-2</v>
      </c>
      <c r="AC87" s="20">
        <v>0.11600000000000001</v>
      </c>
      <c r="AD87" s="20" t="s">
        <v>16</v>
      </c>
      <c r="AE87" s="20" t="s">
        <v>17</v>
      </c>
      <c r="AF87" s="20">
        <v>0</v>
      </c>
      <c r="AG87" s="20" t="s">
        <v>610</v>
      </c>
      <c r="AH87" s="20" t="s">
        <v>611</v>
      </c>
      <c r="AI87" s="20" t="s">
        <v>15</v>
      </c>
      <c r="AJ87" s="20">
        <v>-1</v>
      </c>
      <c r="AK87" s="20" t="s">
        <v>15</v>
      </c>
      <c r="AL87" s="20">
        <v>-1</v>
      </c>
      <c r="AM87" s="20" t="s">
        <v>612</v>
      </c>
      <c r="AN87">
        <v>85</v>
      </c>
    </row>
    <row r="88" spans="1:40" x14ac:dyDescent="0.25">
      <c r="A88" s="20" t="s">
        <v>7</v>
      </c>
      <c r="B88" s="21" t="s">
        <v>8</v>
      </c>
      <c r="C88" s="20" t="s">
        <v>9</v>
      </c>
      <c r="D88" s="21" t="s">
        <v>238</v>
      </c>
      <c r="E88" s="20">
        <v>2018</v>
      </c>
      <c r="F88" s="20">
        <v>3</v>
      </c>
      <c r="G88" s="20" t="s">
        <v>9</v>
      </c>
      <c r="H88" s="20" t="s">
        <v>10</v>
      </c>
      <c r="I88" s="20" t="s">
        <v>208</v>
      </c>
      <c r="J88" s="20">
        <v>4020</v>
      </c>
      <c r="K88" s="20" t="s">
        <v>54</v>
      </c>
      <c r="L88" s="20" t="s">
        <v>54</v>
      </c>
      <c r="M88" s="22">
        <v>0.55138888888888882</v>
      </c>
      <c r="N88" s="22">
        <v>0.69513888888888886</v>
      </c>
      <c r="O88" s="20">
        <v>41</v>
      </c>
      <c r="P88" s="20">
        <v>66</v>
      </c>
      <c r="Q88" s="20" t="s">
        <v>239</v>
      </c>
      <c r="R88" s="20">
        <v>100</v>
      </c>
      <c r="S88" s="20" t="s">
        <v>11</v>
      </c>
      <c r="T88" s="20" t="s">
        <v>12</v>
      </c>
      <c r="U88" s="20" t="s">
        <v>13</v>
      </c>
      <c r="V88" s="20" t="s">
        <v>14</v>
      </c>
      <c r="W88" s="20" t="s">
        <v>15</v>
      </c>
      <c r="X88" s="20">
        <v>13662</v>
      </c>
      <c r="Y88" s="20">
        <v>207</v>
      </c>
      <c r="Z88" s="20">
        <v>2.5638999999999999E-2</v>
      </c>
      <c r="AA88" s="20">
        <v>533754</v>
      </c>
      <c r="AB88" s="20">
        <v>2.5596061106802011E-2</v>
      </c>
      <c r="AC88" s="20">
        <v>0.14099999999999999</v>
      </c>
      <c r="AD88" s="20" t="s">
        <v>16</v>
      </c>
      <c r="AE88" s="20" t="s">
        <v>17</v>
      </c>
      <c r="AF88" s="20">
        <v>0</v>
      </c>
      <c r="AG88" s="20" t="s">
        <v>239</v>
      </c>
      <c r="AH88" s="20" t="s">
        <v>217</v>
      </c>
      <c r="AI88" s="20" t="s">
        <v>15</v>
      </c>
      <c r="AJ88" s="20">
        <v>-1</v>
      </c>
      <c r="AK88" s="20" t="s">
        <v>15</v>
      </c>
      <c r="AL88" s="20">
        <v>-1</v>
      </c>
      <c r="AM88" s="20" t="s">
        <v>240</v>
      </c>
      <c r="AN88">
        <v>86</v>
      </c>
    </row>
    <row r="89" spans="1:40" x14ac:dyDescent="0.25">
      <c r="A89" s="20" t="s">
        <v>7</v>
      </c>
      <c r="B89" s="21" t="s">
        <v>8</v>
      </c>
      <c r="C89" s="20" t="s">
        <v>9</v>
      </c>
      <c r="D89" s="21" t="s">
        <v>613</v>
      </c>
      <c r="E89" s="20">
        <v>2018</v>
      </c>
      <c r="F89" s="20">
        <v>3</v>
      </c>
      <c r="G89" s="20" t="s">
        <v>329</v>
      </c>
      <c r="H89" s="20" t="s">
        <v>10</v>
      </c>
      <c r="I89" s="20" t="s">
        <v>352</v>
      </c>
      <c r="J89" s="20">
        <v>4020</v>
      </c>
      <c r="K89" s="20" t="s">
        <v>55</v>
      </c>
      <c r="L89" s="20" t="s">
        <v>614</v>
      </c>
      <c r="M89" s="22">
        <v>0.58958333333333335</v>
      </c>
      <c r="N89" s="22">
        <v>0.71388888888888891</v>
      </c>
      <c r="O89" s="20">
        <v>73</v>
      </c>
      <c r="P89" s="20">
        <v>50</v>
      </c>
      <c r="Q89" s="20" t="s">
        <v>615</v>
      </c>
      <c r="R89" s="20">
        <v>100</v>
      </c>
      <c r="S89" s="20" t="s">
        <v>11</v>
      </c>
      <c r="T89" s="20" t="s">
        <v>27</v>
      </c>
      <c r="U89" s="20" t="s">
        <v>13</v>
      </c>
      <c r="V89" s="20" t="s">
        <v>14</v>
      </c>
      <c r="W89" s="20" t="s">
        <v>15</v>
      </c>
      <c r="X89" s="20">
        <v>80950</v>
      </c>
      <c r="Y89" s="20">
        <v>1619</v>
      </c>
      <c r="Z89" s="20">
        <v>0.151918</v>
      </c>
      <c r="AA89" s="20">
        <v>533754</v>
      </c>
      <c r="AB89" s="20">
        <v>0.15166162689178911</v>
      </c>
      <c r="AC89" s="20">
        <v>1.97</v>
      </c>
      <c r="AD89" s="20" t="s">
        <v>16</v>
      </c>
      <c r="AE89" s="20" t="s">
        <v>17</v>
      </c>
      <c r="AF89" s="20">
        <v>0</v>
      </c>
      <c r="AG89" s="20" t="s">
        <v>615</v>
      </c>
      <c r="AH89" s="20" t="s">
        <v>508</v>
      </c>
      <c r="AI89" s="20" t="s">
        <v>15</v>
      </c>
      <c r="AJ89" s="20">
        <v>-1</v>
      </c>
      <c r="AK89" s="20" t="s">
        <v>15</v>
      </c>
      <c r="AL89" s="20">
        <v>-1</v>
      </c>
      <c r="AM89" s="20" t="s">
        <v>18</v>
      </c>
      <c r="AN89">
        <v>87</v>
      </c>
    </row>
    <row r="90" spans="1:40" x14ac:dyDescent="0.25">
      <c r="A90" s="20" t="s">
        <v>7</v>
      </c>
      <c r="B90" s="21" t="s">
        <v>8</v>
      </c>
      <c r="C90" s="20" t="s">
        <v>9</v>
      </c>
      <c r="D90" s="21" t="s">
        <v>616</v>
      </c>
      <c r="E90" s="20">
        <v>2018</v>
      </c>
      <c r="F90" s="20">
        <v>3</v>
      </c>
      <c r="G90" s="20" t="s">
        <v>329</v>
      </c>
      <c r="H90" s="20" t="s">
        <v>10</v>
      </c>
      <c r="I90" s="20" t="s">
        <v>352</v>
      </c>
      <c r="J90" s="20">
        <v>4030</v>
      </c>
      <c r="K90" s="20" t="s">
        <v>55</v>
      </c>
      <c r="L90" s="20" t="s">
        <v>55</v>
      </c>
      <c r="M90" s="22">
        <v>0.43263888888888885</v>
      </c>
      <c r="N90" s="22">
        <v>0.61875000000000002</v>
      </c>
      <c r="O90" s="20">
        <v>186</v>
      </c>
      <c r="P90" s="20">
        <v>96</v>
      </c>
      <c r="Q90" s="20" t="s">
        <v>617</v>
      </c>
      <c r="R90" s="20">
        <v>100</v>
      </c>
      <c r="S90" s="20" t="s">
        <v>11</v>
      </c>
      <c r="T90" s="20" t="s">
        <v>19</v>
      </c>
      <c r="U90" s="20" t="s">
        <v>13</v>
      </c>
      <c r="V90" s="20" t="s">
        <v>14</v>
      </c>
      <c r="W90" s="20" t="s">
        <v>15</v>
      </c>
      <c r="X90" s="20">
        <v>25728</v>
      </c>
      <c r="Y90" s="20">
        <v>268</v>
      </c>
      <c r="Z90" s="20">
        <v>4.8283E-2</v>
      </c>
      <c r="AA90" s="20">
        <v>533754</v>
      </c>
      <c r="AB90" s="20">
        <v>4.820198068773255E-2</v>
      </c>
      <c r="AC90" s="20">
        <v>0.83099999999999996</v>
      </c>
      <c r="AD90" s="20" t="s">
        <v>16</v>
      </c>
      <c r="AE90" s="20" t="s">
        <v>17</v>
      </c>
      <c r="AF90" s="20">
        <v>0</v>
      </c>
      <c r="AG90" s="20" t="s">
        <v>617</v>
      </c>
      <c r="AH90" s="20" t="s">
        <v>508</v>
      </c>
      <c r="AI90" s="20" t="s">
        <v>15</v>
      </c>
      <c r="AJ90" s="20">
        <v>-1</v>
      </c>
      <c r="AK90" s="20" t="s">
        <v>15</v>
      </c>
      <c r="AL90" s="20">
        <v>-1</v>
      </c>
      <c r="AM90" s="20" t="s">
        <v>18</v>
      </c>
      <c r="AN90">
        <v>88</v>
      </c>
    </row>
    <row r="91" spans="1:40" x14ac:dyDescent="0.25">
      <c r="A91" s="20" t="s">
        <v>7</v>
      </c>
      <c r="B91" s="21" t="s">
        <v>8</v>
      </c>
      <c r="C91" s="20" t="s">
        <v>9</v>
      </c>
      <c r="D91" s="21" t="s">
        <v>618</v>
      </c>
      <c r="E91" s="20">
        <v>2018</v>
      </c>
      <c r="F91" s="20">
        <v>3</v>
      </c>
      <c r="G91" s="20" t="s">
        <v>323</v>
      </c>
      <c r="H91" s="20" t="s">
        <v>10</v>
      </c>
      <c r="I91" s="20" t="s">
        <v>324</v>
      </c>
      <c r="J91" s="20">
        <v>4040</v>
      </c>
      <c r="K91" s="20" t="s">
        <v>55</v>
      </c>
      <c r="L91" s="20" t="s">
        <v>55</v>
      </c>
      <c r="M91" s="22">
        <v>0.3</v>
      </c>
      <c r="N91" s="22">
        <v>0.42152777777777778</v>
      </c>
      <c r="O91" s="20">
        <v>45</v>
      </c>
      <c r="P91" s="20">
        <v>128</v>
      </c>
      <c r="Q91" s="20" t="s">
        <v>619</v>
      </c>
      <c r="R91" s="20">
        <v>100</v>
      </c>
      <c r="S91" s="20" t="s">
        <v>11</v>
      </c>
      <c r="T91" s="20" t="s">
        <v>12</v>
      </c>
      <c r="U91" s="20" t="s">
        <v>13</v>
      </c>
      <c r="V91" s="20" t="s">
        <v>14</v>
      </c>
      <c r="W91" s="20" t="s">
        <v>15</v>
      </c>
      <c r="X91" s="20">
        <v>22400</v>
      </c>
      <c r="Y91" s="20">
        <v>175</v>
      </c>
      <c r="Z91" s="20">
        <v>4.2037999999999999E-2</v>
      </c>
      <c r="AA91" s="20">
        <v>533754</v>
      </c>
      <c r="AB91" s="20">
        <v>4.1966898608722374E-2</v>
      </c>
      <c r="AC91" s="20">
        <v>0.13100000000000001</v>
      </c>
      <c r="AD91" s="20" t="s">
        <v>16</v>
      </c>
      <c r="AE91" s="20" t="s">
        <v>17</v>
      </c>
      <c r="AF91" s="20">
        <v>0</v>
      </c>
      <c r="AG91" s="20" t="s">
        <v>619</v>
      </c>
      <c r="AH91" s="20" t="s">
        <v>607</v>
      </c>
      <c r="AI91" s="20" t="s">
        <v>15</v>
      </c>
      <c r="AJ91" s="20">
        <v>-1</v>
      </c>
      <c r="AK91" s="20" t="s">
        <v>15</v>
      </c>
      <c r="AL91" s="20">
        <v>-1</v>
      </c>
      <c r="AM91" s="20" t="s">
        <v>620</v>
      </c>
      <c r="AN91">
        <v>89</v>
      </c>
    </row>
    <row r="92" spans="1:40" x14ac:dyDescent="0.25">
      <c r="A92" s="20" t="s">
        <v>7</v>
      </c>
      <c r="B92" s="21" t="s">
        <v>8</v>
      </c>
      <c r="C92" s="20" t="s">
        <v>9</v>
      </c>
      <c r="D92" s="21" t="s">
        <v>241</v>
      </c>
      <c r="E92" s="20">
        <v>2018</v>
      </c>
      <c r="F92" s="20">
        <v>3</v>
      </c>
      <c r="G92" s="20" t="s">
        <v>9</v>
      </c>
      <c r="H92" s="20" t="s">
        <v>10</v>
      </c>
      <c r="I92" s="20" t="s">
        <v>214</v>
      </c>
      <c r="J92" s="20">
        <v>4050</v>
      </c>
      <c r="K92" s="20" t="s">
        <v>55</v>
      </c>
      <c r="L92" s="20" t="s">
        <v>55</v>
      </c>
      <c r="M92" s="22">
        <v>0.58472222222222225</v>
      </c>
      <c r="N92" s="22">
        <v>0.76250000000000007</v>
      </c>
      <c r="O92" s="20">
        <v>54</v>
      </c>
      <c r="P92" s="20">
        <v>41</v>
      </c>
      <c r="Q92" s="20" t="s">
        <v>242</v>
      </c>
      <c r="R92" s="20">
        <v>100</v>
      </c>
      <c r="S92" s="20" t="s">
        <v>11</v>
      </c>
      <c r="T92" s="20" t="s">
        <v>243</v>
      </c>
      <c r="U92" s="20" t="s">
        <v>13</v>
      </c>
      <c r="V92" s="20" t="s">
        <v>14</v>
      </c>
      <c r="W92" s="20" t="s">
        <v>15</v>
      </c>
      <c r="X92" s="20">
        <v>10496</v>
      </c>
      <c r="Y92" s="20">
        <v>256</v>
      </c>
      <c r="Z92" s="20">
        <v>1.9698E-2</v>
      </c>
      <c r="AA92" s="20">
        <v>533754</v>
      </c>
      <c r="AB92" s="20">
        <v>1.9664489633801338E-2</v>
      </c>
      <c r="AC92" s="20">
        <v>0.23</v>
      </c>
      <c r="AD92" s="20" t="s">
        <v>16</v>
      </c>
      <c r="AE92" s="20" t="s">
        <v>17</v>
      </c>
      <c r="AF92" s="20">
        <v>0</v>
      </c>
      <c r="AG92" s="20" t="s">
        <v>242</v>
      </c>
      <c r="AH92" s="20" t="s">
        <v>244</v>
      </c>
      <c r="AI92" s="20" t="s">
        <v>15</v>
      </c>
      <c r="AJ92" s="20">
        <v>1735</v>
      </c>
      <c r="AK92" s="20" t="s">
        <v>15</v>
      </c>
      <c r="AL92" s="20">
        <v>-1</v>
      </c>
      <c r="AM92" s="20" t="s">
        <v>245</v>
      </c>
      <c r="AN92">
        <v>90</v>
      </c>
    </row>
    <row r="93" spans="1:40" x14ac:dyDescent="0.25">
      <c r="A93" s="20" t="s">
        <v>7</v>
      </c>
      <c r="B93" s="21" t="s">
        <v>8</v>
      </c>
      <c r="C93" s="20" t="s">
        <v>9</v>
      </c>
      <c r="D93" s="21" t="s">
        <v>621</v>
      </c>
      <c r="E93" s="20">
        <v>2018</v>
      </c>
      <c r="F93" s="20">
        <v>3</v>
      </c>
      <c r="G93" s="20" t="s">
        <v>329</v>
      </c>
      <c r="H93" s="20" t="s">
        <v>10</v>
      </c>
      <c r="I93" s="20" t="s">
        <v>397</v>
      </c>
      <c r="J93" s="20">
        <v>4045</v>
      </c>
      <c r="K93" s="20" t="s">
        <v>622</v>
      </c>
      <c r="L93" s="20" t="s">
        <v>622</v>
      </c>
      <c r="M93" s="22">
        <v>0.67222222222222217</v>
      </c>
      <c r="N93" s="22">
        <v>0.82638888888888884</v>
      </c>
      <c r="O93" s="20">
        <v>27</v>
      </c>
      <c r="P93" s="20">
        <v>41</v>
      </c>
      <c r="Q93" s="20" t="s">
        <v>399</v>
      </c>
      <c r="R93" s="20">
        <v>100</v>
      </c>
      <c r="S93" s="20" t="s">
        <v>11</v>
      </c>
      <c r="T93" s="20" t="s">
        <v>19</v>
      </c>
      <c r="U93" s="20" t="s">
        <v>13</v>
      </c>
      <c r="V93" s="20" t="s">
        <v>14</v>
      </c>
      <c r="W93" s="20" t="s">
        <v>15</v>
      </c>
      <c r="X93" s="20">
        <v>9102</v>
      </c>
      <c r="Y93" s="20">
        <v>222</v>
      </c>
      <c r="Z93" s="20">
        <v>1.7082E-2</v>
      </c>
      <c r="AA93" s="20">
        <v>533754</v>
      </c>
      <c r="AB93" s="20">
        <v>1.7052799604312097E-2</v>
      </c>
      <c r="AC93" s="20">
        <v>0.1</v>
      </c>
      <c r="AD93" s="20" t="s">
        <v>16</v>
      </c>
      <c r="AE93" s="20" t="s">
        <v>17</v>
      </c>
      <c r="AF93" s="20">
        <v>0</v>
      </c>
      <c r="AG93" s="20" t="s">
        <v>399</v>
      </c>
      <c r="AH93" s="20" t="s">
        <v>45</v>
      </c>
      <c r="AI93" s="20" t="s">
        <v>15</v>
      </c>
      <c r="AJ93" s="20">
        <v>-1</v>
      </c>
      <c r="AK93" s="20" t="s">
        <v>15</v>
      </c>
      <c r="AL93" s="20">
        <v>-1</v>
      </c>
      <c r="AM93" s="20" t="s">
        <v>623</v>
      </c>
      <c r="AN93">
        <v>91</v>
      </c>
    </row>
    <row r="94" spans="1:40" x14ac:dyDescent="0.25">
      <c r="A94" s="20" t="s">
        <v>7</v>
      </c>
      <c r="B94" s="21" t="s">
        <v>8</v>
      </c>
      <c r="C94" s="20" t="s">
        <v>9</v>
      </c>
      <c r="D94" s="21" t="s">
        <v>624</v>
      </c>
      <c r="E94" s="20">
        <v>2018</v>
      </c>
      <c r="F94" s="20">
        <v>3</v>
      </c>
      <c r="G94" s="20" t="s">
        <v>323</v>
      </c>
      <c r="H94" s="20" t="s">
        <v>10</v>
      </c>
      <c r="I94" s="20" t="s">
        <v>381</v>
      </c>
      <c r="J94" s="20">
        <v>4020</v>
      </c>
      <c r="K94" s="20" t="s">
        <v>622</v>
      </c>
      <c r="L94" s="20" t="s">
        <v>622</v>
      </c>
      <c r="M94" s="22">
        <v>0.85902777777777783</v>
      </c>
      <c r="N94" s="22">
        <v>0.8930555555555556</v>
      </c>
      <c r="O94" s="20">
        <v>98</v>
      </c>
      <c r="P94" s="20">
        <v>180</v>
      </c>
      <c r="Q94" s="20" t="s">
        <v>625</v>
      </c>
      <c r="R94" s="20">
        <v>100</v>
      </c>
      <c r="S94" s="20" t="s">
        <v>11</v>
      </c>
      <c r="T94" s="20" t="s">
        <v>27</v>
      </c>
      <c r="U94" s="20" t="s">
        <v>13</v>
      </c>
      <c r="V94" s="20" t="s">
        <v>14</v>
      </c>
      <c r="W94" s="20" t="s">
        <v>15</v>
      </c>
      <c r="X94" s="20">
        <v>8820</v>
      </c>
      <c r="Y94" s="20">
        <v>49</v>
      </c>
      <c r="Z94" s="20">
        <v>1.6552000000000001E-2</v>
      </c>
      <c r="AA94" s="20">
        <v>533754</v>
      </c>
      <c r="AB94" s="20">
        <v>1.6524466327184434E-2</v>
      </c>
      <c r="AC94" s="20">
        <v>0.08</v>
      </c>
      <c r="AD94" s="20" t="s">
        <v>16</v>
      </c>
      <c r="AE94" s="20" t="s">
        <v>17</v>
      </c>
      <c r="AF94" s="20">
        <v>0</v>
      </c>
      <c r="AG94" s="20" t="s">
        <v>625</v>
      </c>
      <c r="AH94" s="20" t="s">
        <v>575</v>
      </c>
      <c r="AI94" s="20" t="s">
        <v>15</v>
      </c>
      <c r="AJ94" s="20">
        <v>-1</v>
      </c>
      <c r="AK94" s="20" t="s">
        <v>15</v>
      </c>
      <c r="AL94" s="20">
        <v>-1</v>
      </c>
      <c r="AM94" s="20" t="s">
        <v>18</v>
      </c>
      <c r="AN94">
        <v>92</v>
      </c>
    </row>
    <row r="95" spans="1:40" x14ac:dyDescent="0.25">
      <c r="A95" s="20" t="s">
        <v>7</v>
      </c>
      <c r="B95" s="21" t="s">
        <v>8</v>
      </c>
      <c r="C95" s="20" t="s">
        <v>9</v>
      </c>
      <c r="D95" s="21" t="s">
        <v>626</v>
      </c>
      <c r="E95" s="20">
        <v>2018</v>
      </c>
      <c r="F95" s="20">
        <v>3</v>
      </c>
      <c r="G95" s="20" t="s">
        <v>342</v>
      </c>
      <c r="H95" s="20" t="s">
        <v>342</v>
      </c>
      <c r="I95" s="20" t="s">
        <v>361</v>
      </c>
      <c r="J95" s="20">
        <v>4020</v>
      </c>
      <c r="K95" s="20" t="s">
        <v>622</v>
      </c>
      <c r="L95" s="20" t="s">
        <v>622</v>
      </c>
      <c r="M95" s="22">
        <v>0.3888888888888889</v>
      </c>
      <c r="N95" s="22">
        <v>0.60763888888888895</v>
      </c>
      <c r="O95" s="20">
        <v>65</v>
      </c>
      <c r="P95" s="20">
        <v>60</v>
      </c>
      <c r="Q95" s="20" t="s">
        <v>627</v>
      </c>
      <c r="R95" s="20">
        <v>0</v>
      </c>
      <c r="S95" s="20" t="s">
        <v>11</v>
      </c>
      <c r="T95" s="20" t="s">
        <v>12</v>
      </c>
      <c r="U95" s="20" t="s">
        <v>13</v>
      </c>
      <c r="V95" s="20" t="s">
        <v>14</v>
      </c>
      <c r="W95" s="20" t="s">
        <v>15</v>
      </c>
      <c r="X95" s="20">
        <v>18900</v>
      </c>
      <c r="Y95" s="20">
        <v>315</v>
      </c>
      <c r="Z95" s="20">
        <v>3.5469000000000001E-2</v>
      </c>
      <c r="AA95" s="20">
        <v>533754</v>
      </c>
      <c r="AB95" s="20">
        <v>3.5409570701109498E-2</v>
      </c>
      <c r="AC95" s="20">
        <v>0.34100000000000003</v>
      </c>
      <c r="AD95" s="20" t="s">
        <v>16</v>
      </c>
      <c r="AE95" s="20" t="s">
        <v>17</v>
      </c>
      <c r="AF95" s="20">
        <v>0</v>
      </c>
      <c r="AG95" s="20" t="s">
        <v>627</v>
      </c>
      <c r="AH95" s="20" t="s">
        <v>386</v>
      </c>
      <c r="AI95" s="20" t="s">
        <v>15</v>
      </c>
      <c r="AJ95" s="20">
        <v>-1</v>
      </c>
      <c r="AK95" s="20" t="s">
        <v>15</v>
      </c>
      <c r="AL95" s="20">
        <v>-1</v>
      </c>
      <c r="AM95" s="20" t="s">
        <v>628</v>
      </c>
      <c r="AN95">
        <v>93</v>
      </c>
    </row>
    <row r="96" spans="1:40" x14ac:dyDescent="0.25">
      <c r="A96" s="20" t="s">
        <v>7</v>
      </c>
      <c r="B96" s="21" t="s">
        <v>8</v>
      </c>
      <c r="C96" s="20" t="s">
        <v>9</v>
      </c>
      <c r="D96" s="21" t="s">
        <v>629</v>
      </c>
      <c r="E96" s="20">
        <v>2018</v>
      </c>
      <c r="F96" s="20">
        <v>3</v>
      </c>
      <c r="G96" s="20" t="s">
        <v>342</v>
      </c>
      <c r="H96" s="20" t="s">
        <v>342</v>
      </c>
      <c r="I96" s="20" t="s">
        <v>366</v>
      </c>
      <c r="J96" s="20">
        <v>4090</v>
      </c>
      <c r="K96" s="20" t="s">
        <v>630</v>
      </c>
      <c r="L96" s="20" t="s">
        <v>630</v>
      </c>
      <c r="M96" s="22">
        <v>0.56736111111111109</v>
      </c>
      <c r="N96" s="22">
        <v>0.83194444444444438</v>
      </c>
      <c r="O96" s="20">
        <v>150</v>
      </c>
      <c r="P96" s="20">
        <v>55</v>
      </c>
      <c r="Q96" s="20" t="s">
        <v>631</v>
      </c>
      <c r="R96" s="20">
        <v>0</v>
      </c>
      <c r="S96" s="20" t="s">
        <v>632</v>
      </c>
      <c r="T96" s="20" t="s">
        <v>633</v>
      </c>
      <c r="U96" s="20" t="s">
        <v>13</v>
      </c>
      <c r="V96" s="20" t="s">
        <v>634</v>
      </c>
      <c r="W96" s="20" t="s">
        <v>15</v>
      </c>
      <c r="X96" s="20">
        <v>20955</v>
      </c>
      <c r="Y96" s="20">
        <v>381</v>
      </c>
      <c r="Z96" s="20">
        <v>3.9326E-2</v>
      </c>
      <c r="AA96" s="20">
        <v>533754</v>
      </c>
      <c r="AB96" s="20">
        <v>3.9259658944007916E-2</v>
      </c>
      <c r="AC96" s="20">
        <v>0.95299999999999996</v>
      </c>
      <c r="AD96" s="20" t="s">
        <v>16</v>
      </c>
      <c r="AE96" s="20" t="s">
        <v>17</v>
      </c>
      <c r="AF96" s="20">
        <v>0</v>
      </c>
      <c r="AG96" s="20" t="s">
        <v>631</v>
      </c>
      <c r="AH96" s="20" t="s">
        <v>505</v>
      </c>
      <c r="AI96" s="20" t="s">
        <v>15</v>
      </c>
      <c r="AJ96" s="20">
        <v>-1</v>
      </c>
      <c r="AK96" s="20" t="s">
        <v>15</v>
      </c>
      <c r="AL96" s="20">
        <v>-1</v>
      </c>
      <c r="AM96" s="20" t="s">
        <v>635</v>
      </c>
      <c r="AN96">
        <v>94</v>
      </c>
    </row>
    <row r="97" spans="1:40" x14ac:dyDescent="0.25">
      <c r="A97" s="20" t="s">
        <v>7</v>
      </c>
      <c r="B97" s="21" t="s">
        <v>8</v>
      </c>
      <c r="C97" s="20" t="s">
        <v>9</v>
      </c>
      <c r="D97" s="21" t="s">
        <v>636</v>
      </c>
      <c r="E97" s="20">
        <v>2018</v>
      </c>
      <c r="F97" s="20">
        <v>3</v>
      </c>
      <c r="G97" s="20" t="s">
        <v>342</v>
      </c>
      <c r="H97" s="20" t="s">
        <v>342</v>
      </c>
      <c r="I97" s="20" t="s">
        <v>343</v>
      </c>
      <c r="J97" s="20">
        <v>4010</v>
      </c>
      <c r="K97" s="20" t="s">
        <v>630</v>
      </c>
      <c r="L97" s="20" t="s">
        <v>630</v>
      </c>
      <c r="M97" s="22">
        <v>0.56736111111111109</v>
      </c>
      <c r="N97" s="22">
        <v>0.74652777777777779</v>
      </c>
      <c r="O97" s="20">
        <v>90</v>
      </c>
      <c r="P97" s="20">
        <v>100</v>
      </c>
      <c r="Q97" s="20" t="s">
        <v>637</v>
      </c>
      <c r="R97" s="20">
        <v>0</v>
      </c>
      <c r="S97" s="20" t="s">
        <v>11</v>
      </c>
      <c r="T97" s="20" t="s">
        <v>12</v>
      </c>
      <c r="U97" s="20" t="s">
        <v>13</v>
      </c>
      <c r="V97" s="20" t="s">
        <v>14</v>
      </c>
      <c r="W97" s="20" t="s">
        <v>15</v>
      </c>
      <c r="X97" s="20">
        <v>25800</v>
      </c>
      <c r="Y97" s="20">
        <v>258</v>
      </c>
      <c r="Z97" s="20">
        <v>4.8418999999999997E-2</v>
      </c>
      <c r="AA97" s="20">
        <v>533754</v>
      </c>
      <c r="AB97" s="20">
        <v>4.8336874290403446E-2</v>
      </c>
      <c r="AC97" s="20">
        <v>0.38700000000000001</v>
      </c>
      <c r="AD97" s="20" t="s">
        <v>16</v>
      </c>
      <c r="AE97" s="20" t="s">
        <v>17</v>
      </c>
      <c r="AF97" s="20">
        <v>0</v>
      </c>
      <c r="AG97" s="20" t="s">
        <v>637</v>
      </c>
      <c r="AH97" s="20" t="s">
        <v>638</v>
      </c>
      <c r="AI97" s="20" t="s">
        <v>15</v>
      </c>
      <c r="AJ97" s="20">
        <v>-1</v>
      </c>
      <c r="AK97" s="20" t="s">
        <v>15</v>
      </c>
      <c r="AL97" s="20">
        <v>-1</v>
      </c>
      <c r="AM97" s="20" t="s">
        <v>18</v>
      </c>
      <c r="AN97">
        <v>95</v>
      </c>
    </row>
    <row r="98" spans="1:40" x14ac:dyDescent="0.25">
      <c r="A98" s="20" t="s">
        <v>7</v>
      </c>
      <c r="B98" s="21" t="s">
        <v>8</v>
      </c>
      <c r="C98" s="20" t="s">
        <v>9</v>
      </c>
      <c r="D98" s="21" t="s">
        <v>639</v>
      </c>
      <c r="E98" s="20">
        <v>2018</v>
      </c>
      <c r="F98" s="20">
        <v>3</v>
      </c>
      <c r="G98" s="20" t="s">
        <v>342</v>
      </c>
      <c r="H98" s="20" t="s">
        <v>342</v>
      </c>
      <c r="I98" s="20" t="s">
        <v>343</v>
      </c>
      <c r="J98" s="20">
        <v>4020</v>
      </c>
      <c r="K98" s="20" t="s">
        <v>640</v>
      </c>
      <c r="L98" s="20" t="s">
        <v>640</v>
      </c>
      <c r="M98" s="22">
        <v>0.33194444444444443</v>
      </c>
      <c r="N98" s="22">
        <v>0.35416666666666669</v>
      </c>
      <c r="O98" s="20">
        <v>145</v>
      </c>
      <c r="P98" s="20">
        <v>165</v>
      </c>
      <c r="Q98" s="20" t="s">
        <v>440</v>
      </c>
      <c r="R98" s="20">
        <v>0</v>
      </c>
      <c r="S98" s="20" t="s">
        <v>23</v>
      </c>
      <c r="T98" s="20" t="s">
        <v>19</v>
      </c>
      <c r="U98" s="20" t="s">
        <v>13</v>
      </c>
      <c r="V98" s="20" t="s">
        <v>14</v>
      </c>
      <c r="W98" s="20" t="s">
        <v>15</v>
      </c>
      <c r="X98" s="20">
        <v>5280</v>
      </c>
      <c r="Y98" s="20">
        <v>32</v>
      </c>
      <c r="Z98" s="20">
        <v>9.9089999999999994E-3</v>
      </c>
      <c r="AA98" s="20">
        <v>533754</v>
      </c>
      <c r="AB98" s="20">
        <v>9.8921975291988446E-3</v>
      </c>
      <c r="AC98" s="20">
        <v>7.6999999999999999E-2</v>
      </c>
      <c r="AD98" s="20" t="s">
        <v>16</v>
      </c>
      <c r="AE98" s="20" t="s">
        <v>17</v>
      </c>
      <c r="AF98" s="20">
        <v>0</v>
      </c>
      <c r="AG98" s="20" t="s">
        <v>440</v>
      </c>
      <c r="AH98" s="20" t="s">
        <v>505</v>
      </c>
      <c r="AI98" s="20" t="s">
        <v>15</v>
      </c>
      <c r="AJ98" s="20">
        <v>-1</v>
      </c>
      <c r="AK98" s="20" t="s">
        <v>15</v>
      </c>
      <c r="AL98" s="20">
        <v>-1</v>
      </c>
      <c r="AM98" s="20" t="s">
        <v>641</v>
      </c>
      <c r="AN98">
        <v>96</v>
      </c>
    </row>
    <row r="99" spans="1:40" x14ac:dyDescent="0.25">
      <c r="A99" s="20" t="s">
        <v>7</v>
      </c>
      <c r="B99" s="21" t="s">
        <v>8</v>
      </c>
      <c r="C99" s="20" t="s">
        <v>9</v>
      </c>
      <c r="D99" s="21" t="s">
        <v>642</v>
      </c>
      <c r="E99" s="20">
        <v>2018</v>
      </c>
      <c r="F99" s="20">
        <v>3</v>
      </c>
      <c r="G99" s="20" t="s">
        <v>342</v>
      </c>
      <c r="H99" s="20" t="s">
        <v>342</v>
      </c>
      <c r="I99" s="20" t="s">
        <v>397</v>
      </c>
      <c r="J99" s="20">
        <v>4015</v>
      </c>
      <c r="K99" s="20" t="s">
        <v>643</v>
      </c>
      <c r="L99" s="20" t="s">
        <v>643</v>
      </c>
      <c r="M99" s="22">
        <v>0.50763888888888886</v>
      </c>
      <c r="N99" s="22">
        <v>0.57291666666666663</v>
      </c>
      <c r="O99" s="20">
        <v>15</v>
      </c>
      <c r="P99" s="20">
        <v>53</v>
      </c>
      <c r="Q99" s="20" t="s">
        <v>644</v>
      </c>
      <c r="R99" s="20">
        <v>0</v>
      </c>
      <c r="S99" s="20" t="s">
        <v>11</v>
      </c>
      <c r="T99" s="20" t="s">
        <v>12</v>
      </c>
      <c r="U99" s="20" t="s">
        <v>13</v>
      </c>
      <c r="V99" s="20" t="s">
        <v>14</v>
      </c>
      <c r="W99" s="20" t="s">
        <v>15</v>
      </c>
      <c r="X99" s="20">
        <v>4982</v>
      </c>
      <c r="Y99" s="20">
        <v>94</v>
      </c>
      <c r="Z99" s="20">
        <v>9.3500000000000007E-3</v>
      </c>
      <c r="AA99" s="20">
        <v>533754</v>
      </c>
      <c r="AB99" s="20">
        <v>9.3338878959220908E-3</v>
      </c>
      <c r="AC99" s="20">
        <v>2.4E-2</v>
      </c>
      <c r="AD99" s="20" t="s">
        <v>16</v>
      </c>
      <c r="AE99" s="20" t="s">
        <v>17</v>
      </c>
      <c r="AF99" s="20">
        <v>0</v>
      </c>
      <c r="AG99" s="20" t="s">
        <v>644</v>
      </c>
      <c r="AH99" s="20" t="s">
        <v>505</v>
      </c>
      <c r="AI99" s="20" t="s">
        <v>15</v>
      </c>
      <c r="AJ99" s="20">
        <v>-1</v>
      </c>
      <c r="AK99" s="20" t="s">
        <v>15</v>
      </c>
      <c r="AL99" s="20">
        <v>-1</v>
      </c>
      <c r="AM99" s="20" t="s">
        <v>645</v>
      </c>
      <c r="AN99">
        <v>97</v>
      </c>
    </row>
    <row r="100" spans="1:40" x14ac:dyDescent="0.25">
      <c r="A100" s="20" t="s">
        <v>7</v>
      </c>
      <c r="B100" s="21" t="s">
        <v>8</v>
      </c>
      <c r="C100" s="20" t="s">
        <v>9</v>
      </c>
      <c r="D100" s="21" t="s">
        <v>646</v>
      </c>
      <c r="E100" s="20">
        <v>2018</v>
      </c>
      <c r="F100" s="20">
        <v>3</v>
      </c>
      <c r="G100" s="20" t="s">
        <v>329</v>
      </c>
      <c r="H100" s="20" t="s">
        <v>10</v>
      </c>
      <c r="I100" s="20" t="s">
        <v>366</v>
      </c>
      <c r="J100" s="20">
        <v>4090</v>
      </c>
      <c r="K100" s="20" t="s">
        <v>647</v>
      </c>
      <c r="L100" s="20" t="s">
        <v>647</v>
      </c>
      <c r="M100" s="22">
        <v>0.86597222222222225</v>
      </c>
      <c r="N100" s="22">
        <v>0.87638888888888899</v>
      </c>
      <c r="O100" s="20">
        <v>45</v>
      </c>
      <c r="P100" s="20">
        <v>156</v>
      </c>
      <c r="Q100" s="20" t="s">
        <v>648</v>
      </c>
      <c r="R100" s="20">
        <v>0</v>
      </c>
      <c r="S100" s="20" t="s">
        <v>11</v>
      </c>
      <c r="T100" s="20" t="s">
        <v>56</v>
      </c>
      <c r="U100" s="20" t="s">
        <v>13</v>
      </c>
      <c r="V100" s="20" t="s">
        <v>14</v>
      </c>
      <c r="W100" s="20" t="s">
        <v>15</v>
      </c>
      <c r="X100" s="20">
        <v>2340</v>
      </c>
      <c r="Y100" s="20">
        <v>15</v>
      </c>
      <c r="Z100" s="20">
        <v>4.3909999999999999E-3</v>
      </c>
      <c r="AA100" s="20">
        <v>533754</v>
      </c>
      <c r="AB100" s="20">
        <v>4.384042086804033E-3</v>
      </c>
      <c r="AC100" s="20">
        <v>1.0999999999999999E-2</v>
      </c>
      <c r="AD100" s="20" t="s">
        <v>16</v>
      </c>
      <c r="AE100" s="20" t="s">
        <v>17</v>
      </c>
      <c r="AF100" s="20">
        <v>0</v>
      </c>
      <c r="AG100" s="20" t="s">
        <v>648</v>
      </c>
      <c r="AH100" s="20" t="s">
        <v>508</v>
      </c>
      <c r="AI100" s="20" t="s">
        <v>15</v>
      </c>
      <c r="AJ100" s="20">
        <v>-1</v>
      </c>
      <c r="AK100" s="20" t="s">
        <v>15</v>
      </c>
      <c r="AL100" s="20">
        <v>-1</v>
      </c>
      <c r="AM100" s="20" t="s">
        <v>18</v>
      </c>
      <c r="AN100">
        <v>98</v>
      </c>
    </row>
    <row r="101" spans="1:40" x14ac:dyDescent="0.25">
      <c r="A101" s="20" t="s">
        <v>7</v>
      </c>
      <c r="B101" s="21" t="s">
        <v>8</v>
      </c>
      <c r="C101" s="20" t="s">
        <v>9</v>
      </c>
      <c r="D101" s="21" t="s">
        <v>649</v>
      </c>
      <c r="E101" s="20">
        <v>2018</v>
      </c>
      <c r="F101" s="20">
        <v>3</v>
      </c>
      <c r="G101" s="20" t="s">
        <v>342</v>
      </c>
      <c r="H101" s="20" t="s">
        <v>342</v>
      </c>
      <c r="I101" s="20" t="s">
        <v>393</v>
      </c>
      <c r="J101" s="20">
        <v>4040</v>
      </c>
      <c r="K101" s="20" t="s">
        <v>647</v>
      </c>
      <c r="L101" s="20" t="s">
        <v>647</v>
      </c>
      <c r="M101" s="22">
        <v>0.58888888888888891</v>
      </c>
      <c r="N101" s="22">
        <v>0.76111111111111107</v>
      </c>
      <c r="O101" s="20">
        <v>90</v>
      </c>
      <c r="P101" s="20">
        <v>145</v>
      </c>
      <c r="Q101" s="20" t="s">
        <v>650</v>
      </c>
      <c r="R101" s="20">
        <v>0</v>
      </c>
      <c r="S101" s="20" t="s">
        <v>651</v>
      </c>
      <c r="T101" s="20" t="s">
        <v>606</v>
      </c>
      <c r="U101" s="20" t="s">
        <v>13</v>
      </c>
      <c r="V101" s="20" t="s">
        <v>14</v>
      </c>
      <c r="W101" s="20" t="s">
        <v>15</v>
      </c>
      <c r="X101" s="20">
        <v>35960</v>
      </c>
      <c r="Y101" s="20">
        <v>248</v>
      </c>
      <c r="Z101" s="20">
        <v>6.7486000000000004E-2</v>
      </c>
      <c r="AA101" s="20">
        <v>533754</v>
      </c>
      <c r="AB101" s="20">
        <v>6.7371860445073942E-2</v>
      </c>
      <c r="AC101" s="20">
        <v>0.372</v>
      </c>
      <c r="AD101" s="20" t="s">
        <v>16</v>
      </c>
      <c r="AE101" s="20" t="s">
        <v>17</v>
      </c>
      <c r="AF101" s="20">
        <v>0</v>
      </c>
      <c r="AG101" s="20" t="s">
        <v>650</v>
      </c>
      <c r="AH101" s="20" t="s">
        <v>505</v>
      </c>
      <c r="AI101" s="20" t="s">
        <v>15</v>
      </c>
      <c r="AJ101" s="20">
        <v>1798</v>
      </c>
      <c r="AK101" s="20" t="s">
        <v>15</v>
      </c>
      <c r="AL101" s="20">
        <v>-1</v>
      </c>
      <c r="AM101" s="20" t="s">
        <v>652</v>
      </c>
      <c r="AN101">
        <v>99</v>
      </c>
    </row>
    <row r="102" spans="1:40" x14ac:dyDescent="0.25">
      <c r="A102" s="20" t="s">
        <v>7</v>
      </c>
      <c r="B102" s="21" t="s">
        <v>8</v>
      </c>
      <c r="C102" s="20" t="s">
        <v>9</v>
      </c>
      <c r="D102" s="21" t="s">
        <v>653</v>
      </c>
      <c r="E102" s="20">
        <v>2018</v>
      </c>
      <c r="F102" s="20">
        <v>3</v>
      </c>
      <c r="G102" s="20" t="s">
        <v>323</v>
      </c>
      <c r="H102" s="20" t="s">
        <v>10</v>
      </c>
      <c r="I102" s="20" t="s">
        <v>381</v>
      </c>
      <c r="J102" s="20">
        <v>4010</v>
      </c>
      <c r="K102" s="20" t="s">
        <v>654</v>
      </c>
      <c r="L102" s="20" t="s">
        <v>654</v>
      </c>
      <c r="M102" s="22">
        <v>0.43958333333333338</v>
      </c>
      <c r="N102" s="22">
        <v>0.57152777777777775</v>
      </c>
      <c r="O102" s="20">
        <v>30</v>
      </c>
      <c r="P102" s="20">
        <v>2</v>
      </c>
      <c r="Q102" s="20" t="s">
        <v>655</v>
      </c>
      <c r="R102" s="20">
        <v>100</v>
      </c>
      <c r="S102" s="20" t="s">
        <v>11</v>
      </c>
      <c r="T102" s="20" t="s">
        <v>373</v>
      </c>
      <c r="U102" s="20" t="s">
        <v>13</v>
      </c>
      <c r="V102" s="20" t="s">
        <v>14</v>
      </c>
      <c r="W102" s="20" t="s">
        <v>15</v>
      </c>
      <c r="X102" s="20">
        <v>380</v>
      </c>
      <c r="Y102" s="20">
        <v>190</v>
      </c>
      <c r="Z102" s="20">
        <v>7.1299999999999998E-4</v>
      </c>
      <c r="AA102" s="20">
        <v>533754</v>
      </c>
      <c r="AB102" s="20">
        <v>7.1193845854082593E-4</v>
      </c>
      <c r="AC102" s="20">
        <v>9.5000000000000001E-2</v>
      </c>
      <c r="AD102" s="20" t="s">
        <v>16</v>
      </c>
      <c r="AE102" s="20" t="s">
        <v>17</v>
      </c>
      <c r="AF102" s="20">
        <v>0</v>
      </c>
      <c r="AG102" s="20" t="s">
        <v>655</v>
      </c>
      <c r="AH102" s="20" t="s">
        <v>656</v>
      </c>
      <c r="AI102" s="20" t="s">
        <v>15</v>
      </c>
      <c r="AJ102" s="20">
        <v>-1</v>
      </c>
      <c r="AK102" s="20" t="s">
        <v>15</v>
      </c>
      <c r="AL102" s="20">
        <v>-1</v>
      </c>
      <c r="AM102" s="20" t="s">
        <v>18</v>
      </c>
      <c r="AN102">
        <v>100</v>
      </c>
    </row>
    <row r="103" spans="1:40" x14ac:dyDescent="0.25">
      <c r="A103" s="20" t="s">
        <v>7</v>
      </c>
      <c r="B103" s="21" t="s">
        <v>8</v>
      </c>
      <c r="C103" s="20" t="s">
        <v>9</v>
      </c>
      <c r="D103" s="21" t="s">
        <v>657</v>
      </c>
      <c r="E103" s="20">
        <v>2018</v>
      </c>
      <c r="F103" s="20">
        <v>3</v>
      </c>
      <c r="G103" s="20" t="s">
        <v>342</v>
      </c>
      <c r="H103" s="20" t="s">
        <v>10</v>
      </c>
      <c r="I103" s="20" t="s">
        <v>330</v>
      </c>
      <c r="J103" s="20">
        <v>4030</v>
      </c>
      <c r="K103" s="20" t="s">
        <v>658</v>
      </c>
      <c r="L103" s="20" t="s">
        <v>658</v>
      </c>
      <c r="M103" s="22">
        <v>0.48194444444444445</v>
      </c>
      <c r="N103" s="22">
        <v>0.83888888888888891</v>
      </c>
      <c r="O103" s="20">
        <v>140</v>
      </c>
      <c r="P103" s="20">
        <v>2</v>
      </c>
      <c r="Q103" s="20" t="s">
        <v>659</v>
      </c>
      <c r="R103" s="20">
        <v>100</v>
      </c>
      <c r="S103" s="20" t="s">
        <v>11</v>
      </c>
      <c r="T103" s="20" t="s">
        <v>12</v>
      </c>
      <c r="U103" s="20" t="s">
        <v>13</v>
      </c>
      <c r="V103" s="20" t="s">
        <v>14</v>
      </c>
      <c r="W103" s="20" t="s">
        <v>15</v>
      </c>
      <c r="X103" s="20">
        <v>1028</v>
      </c>
      <c r="Y103" s="20">
        <v>514</v>
      </c>
      <c r="Z103" s="20">
        <v>1.9289999999999999E-3</v>
      </c>
      <c r="AA103" s="20">
        <v>533754</v>
      </c>
      <c r="AB103" s="20">
        <v>1.925980882578866E-3</v>
      </c>
      <c r="AC103" s="20">
        <v>1.1990000000000001</v>
      </c>
      <c r="AD103" s="20" t="s">
        <v>16</v>
      </c>
      <c r="AE103" s="20" t="s">
        <v>17</v>
      </c>
      <c r="AF103" s="20">
        <v>0</v>
      </c>
      <c r="AG103" s="20" t="s">
        <v>659</v>
      </c>
      <c r="AH103" s="20" t="s">
        <v>660</v>
      </c>
      <c r="AI103" s="20" t="s">
        <v>15</v>
      </c>
      <c r="AJ103" s="20">
        <v>-1</v>
      </c>
      <c r="AK103" s="20" t="s">
        <v>15</v>
      </c>
      <c r="AL103" s="20">
        <v>-1</v>
      </c>
      <c r="AM103" s="20" t="s">
        <v>18</v>
      </c>
      <c r="AN103">
        <v>101</v>
      </c>
    </row>
    <row r="104" spans="1:40" x14ac:dyDescent="0.25">
      <c r="A104" s="20" t="s">
        <v>7</v>
      </c>
      <c r="B104" s="21" t="s">
        <v>8</v>
      </c>
      <c r="C104" s="20" t="s">
        <v>9</v>
      </c>
      <c r="D104" s="21" t="s">
        <v>661</v>
      </c>
      <c r="E104" s="20">
        <v>2018</v>
      </c>
      <c r="F104" s="20">
        <v>4</v>
      </c>
      <c r="G104" s="20" t="s">
        <v>342</v>
      </c>
      <c r="H104" s="20" t="s">
        <v>342</v>
      </c>
      <c r="I104" s="20" t="s">
        <v>361</v>
      </c>
      <c r="J104" s="20">
        <v>4030</v>
      </c>
      <c r="K104" s="20" t="s">
        <v>662</v>
      </c>
      <c r="L104" s="20" t="s">
        <v>662</v>
      </c>
      <c r="M104" s="22">
        <v>0.15347222222222223</v>
      </c>
      <c r="N104" s="22">
        <v>0.44444444444444442</v>
      </c>
      <c r="O104" s="20">
        <v>80</v>
      </c>
      <c r="P104" s="20">
        <v>112</v>
      </c>
      <c r="Q104" s="20" t="s">
        <v>663</v>
      </c>
      <c r="R104" s="20">
        <v>0</v>
      </c>
      <c r="S104" s="20" t="s">
        <v>11</v>
      </c>
      <c r="T104" s="20" t="s">
        <v>12</v>
      </c>
      <c r="U104" s="20" t="s">
        <v>13</v>
      </c>
      <c r="V104" s="20" t="s">
        <v>14</v>
      </c>
      <c r="W104" s="20" t="s">
        <v>15</v>
      </c>
      <c r="X104" s="20">
        <v>46928</v>
      </c>
      <c r="Y104" s="20">
        <v>419</v>
      </c>
      <c r="Z104" s="20">
        <v>8.7998999999999994E-2</v>
      </c>
      <c r="AA104" s="20">
        <v>533754</v>
      </c>
      <c r="AB104" s="20">
        <v>8.7920652585273359E-2</v>
      </c>
      <c r="AC104" s="20">
        <v>0.55900000000000005</v>
      </c>
      <c r="AD104" s="20" t="s">
        <v>16</v>
      </c>
      <c r="AE104" s="20" t="s">
        <v>17</v>
      </c>
      <c r="AF104" s="20">
        <v>0</v>
      </c>
      <c r="AG104" s="20" t="s">
        <v>663</v>
      </c>
      <c r="AH104" s="20" t="s">
        <v>386</v>
      </c>
      <c r="AI104" s="20" t="s">
        <v>15</v>
      </c>
      <c r="AJ104" s="20">
        <v>-1</v>
      </c>
      <c r="AK104" s="20" t="s">
        <v>15</v>
      </c>
      <c r="AL104" s="20">
        <v>-1</v>
      </c>
      <c r="AM104" s="20" t="s">
        <v>664</v>
      </c>
      <c r="AN104">
        <v>102</v>
      </c>
    </row>
    <row r="105" spans="1:40" x14ac:dyDescent="0.25">
      <c r="A105" s="20" t="s">
        <v>7</v>
      </c>
      <c r="B105" s="21" t="s">
        <v>8</v>
      </c>
      <c r="C105" s="20" t="s">
        <v>9</v>
      </c>
      <c r="D105" s="21" t="s">
        <v>665</v>
      </c>
      <c r="E105" s="20">
        <v>2018</v>
      </c>
      <c r="F105" s="20">
        <v>4</v>
      </c>
      <c r="G105" s="20" t="s">
        <v>342</v>
      </c>
      <c r="H105" s="20" t="s">
        <v>342</v>
      </c>
      <c r="I105" s="20" t="s">
        <v>330</v>
      </c>
      <c r="J105" s="20">
        <v>4030</v>
      </c>
      <c r="K105" s="20" t="s">
        <v>666</v>
      </c>
      <c r="L105" s="20" t="s">
        <v>666</v>
      </c>
      <c r="M105" s="22">
        <v>0.34513888888888888</v>
      </c>
      <c r="N105" s="22">
        <v>0.4381944444444445</v>
      </c>
      <c r="O105" s="20">
        <v>60</v>
      </c>
      <c r="P105" s="20">
        <v>83</v>
      </c>
      <c r="Q105" s="20" t="s">
        <v>667</v>
      </c>
      <c r="R105" s="20">
        <v>0</v>
      </c>
      <c r="S105" s="20" t="s">
        <v>11</v>
      </c>
      <c r="T105" s="20" t="s">
        <v>12</v>
      </c>
      <c r="U105" s="20" t="s">
        <v>13</v>
      </c>
      <c r="V105" s="20" t="s">
        <v>14</v>
      </c>
      <c r="W105" s="20" t="s">
        <v>15</v>
      </c>
      <c r="X105" s="20">
        <v>11122</v>
      </c>
      <c r="Y105" s="20">
        <v>134</v>
      </c>
      <c r="Z105" s="20">
        <v>2.0856E-2</v>
      </c>
      <c r="AA105" s="20">
        <v>533754</v>
      </c>
      <c r="AB105" s="20">
        <v>2.0837314568134382E-2</v>
      </c>
      <c r="AC105" s="20">
        <v>0.13400000000000001</v>
      </c>
      <c r="AD105" s="20" t="s">
        <v>16</v>
      </c>
      <c r="AE105" s="20" t="s">
        <v>17</v>
      </c>
      <c r="AF105" s="20">
        <v>0</v>
      </c>
      <c r="AG105" s="20" t="s">
        <v>667</v>
      </c>
      <c r="AH105" s="20" t="s">
        <v>386</v>
      </c>
      <c r="AI105" s="20" t="s">
        <v>15</v>
      </c>
      <c r="AJ105" s="20">
        <v>-1</v>
      </c>
      <c r="AK105" s="20" t="s">
        <v>15</v>
      </c>
      <c r="AL105" s="20">
        <v>-1</v>
      </c>
      <c r="AM105" s="20" t="s">
        <v>668</v>
      </c>
      <c r="AN105">
        <v>103</v>
      </c>
    </row>
    <row r="106" spans="1:40" x14ac:dyDescent="0.25">
      <c r="A106" s="20" t="s">
        <v>7</v>
      </c>
      <c r="B106" s="21" t="s">
        <v>8</v>
      </c>
      <c r="C106" s="20" t="s">
        <v>9</v>
      </c>
      <c r="D106" s="21" t="s">
        <v>669</v>
      </c>
      <c r="E106" s="20">
        <v>2018</v>
      </c>
      <c r="F106" s="20">
        <v>4</v>
      </c>
      <c r="G106" s="20" t="s">
        <v>342</v>
      </c>
      <c r="H106" s="20" t="s">
        <v>342</v>
      </c>
      <c r="I106" s="20" t="s">
        <v>361</v>
      </c>
      <c r="J106" s="20">
        <v>4060</v>
      </c>
      <c r="K106" s="20" t="s">
        <v>670</v>
      </c>
      <c r="L106" s="20" t="s">
        <v>670</v>
      </c>
      <c r="M106" s="22">
        <v>0.29930555555555555</v>
      </c>
      <c r="N106" s="22">
        <v>0.48819444444444443</v>
      </c>
      <c r="O106" s="20">
        <v>187</v>
      </c>
      <c r="P106" s="20">
        <v>83</v>
      </c>
      <c r="Q106" s="20" t="s">
        <v>671</v>
      </c>
      <c r="R106" s="20">
        <v>0</v>
      </c>
      <c r="S106" s="20" t="s">
        <v>11</v>
      </c>
      <c r="T106" s="20" t="s">
        <v>12</v>
      </c>
      <c r="U106" s="20" t="s">
        <v>13</v>
      </c>
      <c r="V106" s="20" t="s">
        <v>14</v>
      </c>
      <c r="W106" s="20" t="s">
        <v>15</v>
      </c>
      <c r="X106" s="20">
        <v>22576</v>
      </c>
      <c r="Y106" s="20">
        <v>272</v>
      </c>
      <c r="Z106" s="20">
        <v>4.2333999999999997E-2</v>
      </c>
      <c r="AA106" s="20">
        <v>533754</v>
      </c>
      <c r="AB106" s="20">
        <v>4.2296638526362333E-2</v>
      </c>
      <c r="AC106" s="20">
        <v>0.84799999999999998</v>
      </c>
      <c r="AD106" s="20" t="s">
        <v>16</v>
      </c>
      <c r="AE106" s="20" t="s">
        <v>17</v>
      </c>
      <c r="AF106" s="20">
        <v>0</v>
      </c>
      <c r="AG106" s="20" t="s">
        <v>671</v>
      </c>
      <c r="AH106" s="20" t="s">
        <v>386</v>
      </c>
      <c r="AI106" s="20" t="s">
        <v>15</v>
      </c>
      <c r="AJ106" s="20">
        <v>-1</v>
      </c>
      <c r="AK106" s="20" t="s">
        <v>15</v>
      </c>
      <c r="AL106" s="20">
        <v>-1</v>
      </c>
      <c r="AM106" s="20" t="s">
        <v>672</v>
      </c>
      <c r="AN106">
        <v>104</v>
      </c>
    </row>
    <row r="107" spans="1:40" x14ac:dyDescent="0.25">
      <c r="A107" s="20" t="s">
        <v>7</v>
      </c>
      <c r="B107" s="21" t="s">
        <v>8</v>
      </c>
      <c r="C107" s="20" t="s">
        <v>9</v>
      </c>
      <c r="D107" s="21" t="s">
        <v>673</v>
      </c>
      <c r="E107" s="20">
        <v>2018</v>
      </c>
      <c r="F107" s="20">
        <v>4</v>
      </c>
      <c r="G107" s="20" t="s">
        <v>323</v>
      </c>
      <c r="H107" s="20" t="s">
        <v>10</v>
      </c>
      <c r="I107" s="20" t="s">
        <v>324</v>
      </c>
      <c r="J107" s="20">
        <v>4010</v>
      </c>
      <c r="K107" s="20" t="s">
        <v>670</v>
      </c>
      <c r="L107" s="20" t="s">
        <v>670</v>
      </c>
      <c r="M107" s="22">
        <v>0.51944444444444449</v>
      </c>
      <c r="N107" s="22">
        <v>0.72916666666666663</v>
      </c>
      <c r="O107" s="20">
        <v>16</v>
      </c>
      <c r="P107" s="20">
        <v>60</v>
      </c>
      <c r="Q107" s="20" t="s">
        <v>674</v>
      </c>
      <c r="R107" s="20">
        <v>100</v>
      </c>
      <c r="S107" s="20" t="s">
        <v>11</v>
      </c>
      <c r="T107" s="20" t="s">
        <v>12</v>
      </c>
      <c r="U107" s="20" t="s">
        <v>13</v>
      </c>
      <c r="V107" s="20" t="s">
        <v>14</v>
      </c>
      <c r="W107" s="20" t="s">
        <v>15</v>
      </c>
      <c r="X107" s="20">
        <v>18120</v>
      </c>
      <c r="Y107" s="20">
        <v>302</v>
      </c>
      <c r="Z107" s="20">
        <v>3.3979000000000002E-2</v>
      </c>
      <c r="AA107" s="20">
        <v>533754</v>
      </c>
      <c r="AB107" s="20">
        <v>3.3948223338841489E-2</v>
      </c>
      <c r="AC107" s="20">
        <v>8.1000000000000003E-2</v>
      </c>
      <c r="AD107" s="20" t="s">
        <v>16</v>
      </c>
      <c r="AE107" s="20" t="s">
        <v>17</v>
      </c>
      <c r="AF107" s="20">
        <v>0</v>
      </c>
      <c r="AG107" s="20" t="s">
        <v>674</v>
      </c>
      <c r="AH107" s="20" t="s">
        <v>22</v>
      </c>
      <c r="AI107" s="20" t="s">
        <v>15</v>
      </c>
      <c r="AJ107" s="20">
        <v>-1</v>
      </c>
      <c r="AK107" s="20" t="s">
        <v>15</v>
      </c>
      <c r="AL107" s="20">
        <v>-1</v>
      </c>
      <c r="AM107" s="20" t="s">
        <v>675</v>
      </c>
      <c r="AN107">
        <v>105</v>
      </c>
    </row>
    <row r="108" spans="1:40" x14ac:dyDescent="0.25">
      <c r="A108" s="20" t="s">
        <v>7</v>
      </c>
      <c r="B108" s="21" t="s">
        <v>8</v>
      </c>
      <c r="C108" s="20" t="s">
        <v>9</v>
      </c>
      <c r="D108" s="21" t="s">
        <v>676</v>
      </c>
      <c r="E108" s="20">
        <v>2018</v>
      </c>
      <c r="F108" s="20">
        <v>4</v>
      </c>
      <c r="G108" s="20" t="s">
        <v>329</v>
      </c>
      <c r="H108" s="20" t="s">
        <v>10</v>
      </c>
      <c r="I108" s="20" t="s">
        <v>352</v>
      </c>
      <c r="J108" s="20">
        <v>4020</v>
      </c>
      <c r="K108" s="20" t="s">
        <v>677</v>
      </c>
      <c r="L108" s="20" t="s">
        <v>677</v>
      </c>
      <c r="M108" s="22">
        <v>0.49236111111111108</v>
      </c>
      <c r="N108" s="22">
        <v>0.82361111111111107</v>
      </c>
      <c r="O108" s="20">
        <v>80</v>
      </c>
      <c r="P108" s="20">
        <v>36</v>
      </c>
      <c r="Q108" s="20" t="s">
        <v>678</v>
      </c>
      <c r="R108" s="20">
        <v>100</v>
      </c>
      <c r="S108" s="20" t="s">
        <v>11</v>
      </c>
      <c r="T108" s="20" t="s">
        <v>12</v>
      </c>
      <c r="U108" s="20" t="s">
        <v>13</v>
      </c>
      <c r="V108" s="20" t="s">
        <v>14</v>
      </c>
      <c r="W108" s="20" t="s">
        <v>15</v>
      </c>
      <c r="X108" s="20">
        <v>17172</v>
      </c>
      <c r="Y108" s="20">
        <v>477</v>
      </c>
      <c r="Z108" s="20">
        <v>3.2201E-2</v>
      </c>
      <c r="AA108" s="20">
        <v>533754</v>
      </c>
      <c r="AB108" s="20">
        <v>3.2172124237008062E-2</v>
      </c>
      <c r="AC108" s="20">
        <v>0.63600000000000001</v>
      </c>
      <c r="AD108" s="20" t="s">
        <v>16</v>
      </c>
      <c r="AE108" s="20" t="s">
        <v>17</v>
      </c>
      <c r="AF108" s="20">
        <v>0</v>
      </c>
      <c r="AG108" s="20" t="s">
        <v>678</v>
      </c>
      <c r="AH108" s="20" t="s">
        <v>339</v>
      </c>
      <c r="AI108" s="20" t="s">
        <v>15</v>
      </c>
      <c r="AJ108" s="20">
        <v>-1</v>
      </c>
      <c r="AK108" s="20" t="s">
        <v>15</v>
      </c>
      <c r="AL108" s="20">
        <v>-1</v>
      </c>
      <c r="AM108" s="20" t="s">
        <v>18</v>
      </c>
      <c r="AN108">
        <v>106</v>
      </c>
    </row>
    <row r="109" spans="1:40" x14ac:dyDescent="0.25">
      <c r="A109" s="20" t="s">
        <v>7</v>
      </c>
      <c r="B109" s="21" t="s">
        <v>8</v>
      </c>
      <c r="C109" s="20" t="s">
        <v>9</v>
      </c>
      <c r="D109" s="21" t="s">
        <v>679</v>
      </c>
      <c r="E109" s="20">
        <v>2018</v>
      </c>
      <c r="F109" s="20">
        <v>4</v>
      </c>
      <c r="G109" s="20" t="s">
        <v>329</v>
      </c>
      <c r="H109" s="20" t="s">
        <v>10</v>
      </c>
      <c r="I109" s="20" t="s">
        <v>352</v>
      </c>
      <c r="J109" s="20">
        <v>4020</v>
      </c>
      <c r="K109" s="20" t="s">
        <v>680</v>
      </c>
      <c r="L109" s="20" t="s">
        <v>680</v>
      </c>
      <c r="M109" s="22">
        <v>0.5395833333333333</v>
      </c>
      <c r="N109" s="22">
        <v>0.70138888888888884</v>
      </c>
      <c r="O109" s="20">
        <v>44</v>
      </c>
      <c r="P109" s="20">
        <v>89</v>
      </c>
      <c r="Q109" s="20" t="s">
        <v>681</v>
      </c>
      <c r="R109" s="20">
        <v>100</v>
      </c>
      <c r="S109" s="20" t="s">
        <v>11</v>
      </c>
      <c r="T109" s="20" t="s">
        <v>12</v>
      </c>
      <c r="U109" s="20" t="s">
        <v>13</v>
      </c>
      <c r="V109" s="20" t="s">
        <v>14</v>
      </c>
      <c r="W109" s="20" t="s">
        <v>15</v>
      </c>
      <c r="X109" s="20">
        <v>20737</v>
      </c>
      <c r="Y109" s="20">
        <v>233</v>
      </c>
      <c r="Z109" s="20">
        <v>3.8885999999999997E-2</v>
      </c>
      <c r="AA109" s="20">
        <v>533754</v>
      </c>
      <c r="AB109" s="20">
        <v>3.8851231091476597E-2</v>
      </c>
      <c r="AC109" s="20">
        <v>0.17100000000000001</v>
      </c>
      <c r="AD109" s="20" t="s">
        <v>16</v>
      </c>
      <c r="AE109" s="20" t="s">
        <v>17</v>
      </c>
      <c r="AF109" s="20">
        <v>0</v>
      </c>
      <c r="AG109" s="20" t="s">
        <v>681</v>
      </c>
      <c r="AH109" s="20" t="s">
        <v>339</v>
      </c>
      <c r="AI109" s="20" t="s">
        <v>15</v>
      </c>
      <c r="AJ109" s="20">
        <v>-1</v>
      </c>
      <c r="AK109" s="20" t="s">
        <v>15</v>
      </c>
      <c r="AL109" s="20">
        <v>-1</v>
      </c>
      <c r="AM109" s="20" t="s">
        <v>682</v>
      </c>
      <c r="AN109">
        <v>107</v>
      </c>
    </row>
    <row r="110" spans="1:40" x14ac:dyDescent="0.25">
      <c r="A110" s="20" t="s">
        <v>7</v>
      </c>
      <c r="B110" s="21" t="s">
        <v>8</v>
      </c>
      <c r="C110" s="20" t="s">
        <v>9</v>
      </c>
      <c r="D110" s="21" t="s">
        <v>683</v>
      </c>
      <c r="E110" s="20">
        <v>2018</v>
      </c>
      <c r="F110" s="20">
        <v>4</v>
      </c>
      <c r="G110" s="20" t="s">
        <v>323</v>
      </c>
      <c r="H110" s="20" t="s">
        <v>10</v>
      </c>
      <c r="I110" s="20" t="s">
        <v>381</v>
      </c>
      <c r="J110" s="20">
        <v>4010</v>
      </c>
      <c r="K110" s="20" t="s">
        <v>680</v>
      </c>
      <c r="L110" s="20" t="s">
        <v>680</v>
      </c>
      <c r="M110" s="22">
        <v>0.78472222222222221</v>
      </c>
      <c r="N110" s="22">
        <v>0.96458333333333324</v>
      </c>
      <c r="O110" s="20">
        <v>3</v>
      </c>
      <c r="P110" s="20">
        <v>12</v>
      </c>
      <c r="Q110" s="20" t="s">
        <v>504</v>
      </c>
      <c r="R110" s="20">
        <v>100</v>
      </c>
      <c r="S110" s="20" t="s">
        <v>684</v>
      </c>
      <c r="T110" s="20" t="s">
        <v>26</v>
      </c>
      <c r="U110" s="20" t="s">
        <v>13</v>
      </c>
      <c r="V110" s="20" t="s">
        <v>14</v>
      </c>
      <c r="W110" s="20" t="s">
        <v>15</v>
      </c>
      <c r="X110" s="20">
        <v>3108</v>
      </c>
      <c r="Y110" s="20">
        <v>259</v>
      </c>
      <c r="Z110" s="20">
        <v>5.8279999999999998E-3</v>
      </c>
      <c r="AA110" s="20">
        <v>533754</v>
      </c>
      <c r="AB110" s="20">
        <v>5.8229071819602286E-3</v>
      </c>
      <c r="AC110" s="20">
        <v>1.2999999999999999E-2</v>
      </c>
      <c r="AD110" s="20" t="s">
        <v>16</v>
      </c>
      <c r="AE110" s="20" t="s">
        <v>17</v>
      </c>
      <c r="AF110" s="20">
        <v>0</v>
      </c>
      <c r="AG110" s="20" t="s">
        <v>504</v>
      </c>
      <c r="AH110" s="20" t="s">
        <v>427</v>
      </c>
      <c r="AI110" s="20" t="s">
        <v>15</v>
      </c>
      <c r="AJ110" s="20">
        <v>-1</v>
      </c>
      <c r="AK110" s="20" t="s">
        <v>15</v>
      </c>
      <c r="AL110" s="20">
        <v>-1</v>
      </c>
      <c r="AM110" s="20" t="s">
        <v>18</v>
      </c>
      <c r="AN110">
        <v>108</v>
      </c>
    </row>
    <row r="111" spans="1:40" x14ac:dyDescent="0.25">
      <c r="A111" s="20" t="s">
        <v>7</v>
      </c>
      <c r="B111" s="21" t="s">
        <v>8</v>
      </c>
      <c r="C111" s="20" t="s">
        <v>9</v>
      </c>
      <c r="D111" s="21" t="s">
        <v>685</v>
      </c>
      <c r="E111" s="20">
        <v>2018</v>
      </c>
      <c r="F111" s="20">
        <v>4</v>
      </c>
      <c r="G111" s="20" t="s">
        <v>342</v>
      </c>
      <c r="H111" s="20" t="s">
        <v>342</v>
      </c>
      <c r="I111" s="20" t="s">
        <v>366</v>
      </c>
      <c r="J111" s="20">
        <v>4060</v>
      </c>
      <c r="K111" s="20" t="s">
        <v>680</v>
      </c>
      <c r="L111" s="20" t="s">
        <v>680</v>
      </c>
      <c r="M111" s="22">
        <v>0.42499999999999999</v>
      </c>
      <c r="N111" s="22">
        <v>0.50694444444444442</v>
      </c>
      <c r="O111" s="20">
        <v>106</v>
      </c>
      <c r="P111" s="20">
        <v>145</v>
      </c>
      <c r="Q111" s="20" t="s">
        <v>686</v>
      </c>
      <c r="R111" s="20">
        <v>0</v>
      </c>
      <c r="S111" s="20" t="s">
        <v>11</v>
      </c>
      <c r="T111" s="20" t="s">
        <v>12</v>
      </c>
      <c r="U111" s="20" t="s">
        <v>13</v>
      </c>
      <c r="V111" s="20" t="s">
        <v>14</v>
      </c>
      <c r="W111" s="20" t="s">
        <v>15</v>
      </c>
      <c r="X111" s="20">
        <v>17110</v>
      </c>
      <c r="Y111" s="20">
        <v>118</v>
      </c>
      <c r="Z111" s="20">
        <v>3.2085000000000002E-2</v>
      </c>
      <c r="AA111" s="20">
        <v>533754</v>
      </c>
      <c r="AB111" s="20">
        <v>3.2055965856930345E-2</v>
      </c>
      <c r="AC111" s="20">
        <v>0.20799999999999999</v>
      </c>
      <c r="AD111" s="20" t="s">
        <v>16</v>
      </c>
      <c r="AE111" s="20" t="s">
        <v>17</v>
      </c>
      <c r="AF111" s="20">
        <v>0</v>
      </c>
      <c r="AG111" s="20" t="s">
        <v>686</v>
      </c>
      <c r="AH111" s="20" t="s">
        <v>687</v>
      </c>
      <c r="AI111" s="20" t="s">
        <v>15</v>
      </c>
      <c r="AJ111" s="20">
        <v>-1</v>
      </c>
      <c r="AK111" s="20" t="s">
        <v>15</v>
      </c>
      <c r="AL111" s="20">
        <v>-1</v>
      </c>
      <c r="AM111" s="20" t="s">
        <v>688</v>
      </c>
      <c r="AN111">
        <v>109</v>
      </c>
    </row>
    <row r="112" spans="1:40" x14ac:dyDescent="0.25">
      <c r="A112" s="20" t="s">
        <v>7</v>
      </c>
      <c r="B112" s="21" t="s">
        <v>8</v>
      </c>
      <c r="C112" s="20" t="s">
        <v>9</v>
      </c>
      <c r="D112" s="21" t="s">
        <v>689</v>
      </c>
      <c r="E112" s="20">
        <v>2018</v>
      </c>
      <c r="F112" s="20">
        <v>4</v>
      </c>
      <c r="G112" s="20" t="s">
        <v>329</v>
      </c>
      <c r="H112" s="20" t="s">
        <v>10</v>
      </c>
      <c r="I112" s="20" t="s">
        <v>397</v>
      </c>
      <c r="J112" s="20">
        <v>4045</v>
      </c>
      <c r="K112" s="20" t="s">
        <v>690</v>
      </c>
      <c r="L112" s="20" t="s">
        <v>690</v>
      </c>
      <c r="M112" s="22">
        <v>0.69791666666666663</v>
      </c>
      <c r="N112" s="22">
        <v>0.8256944444444444</v>
      </c>
      <c r="O112" s="20">
        <v>48</v>
      </c>
      <c r="P112" s="20">
        <v>67</v>
      </c>
      <c r="Q112" s="20" t="s">
        <v>691</v>
      </c>
      <c r="R112" s="20">
        <v>100</v>
      </c>
      <c r="S112" s="20" t="s">
        <v>11</v>
      </c>
      <c r="T112" s="20" t="s">
        <v>12</v>
      </c>
      <c r="U112" s="20" t="s">
        <v>13</v>
      </c>
      <c r="V112" s="20" t="s">
        <v>14</v>
      </c>
      <c r="W112" s="20" t="s">
        <v>15</v>
      </c>
      <c r="X112" s="20">
        <v>12328</v>
      </c>
      <c r="Y112" s="20">
        <v>184</v>
      </c>
      <c r="Z112" s="20">
        <v>2.3116999999999999E-2</v>
      </c>
      <c r="AA112" s="20">
        <v>533754</v>
      </c>
      <c r="AB112" s="20">
        <v>2.3096782412871848E-2</v>
      </c>
      <c r="AC112" s="20">
        <v>0.14699999999999999</v>
      </c>
      <c r="AD112" s="20" t="s">
        <v>16</v>
      </c>
      <c r="AE112" s="20" t="s">
        <v>17</v>
      </c>
      <c r="AF112" s="20">
        <v>0</v>
      </c>
      <c r="AG112" s="20" t="s">
        <v>691</v>
      </c>
      <c r="AH112" s="20" t="s">
        <v>339</v>
      </c>
      <c r="AI112" s="20" t="s">
        <v>15</v>
      </c>
      <c r="AJ112" s="20">
        <v>-1</v>
      </c>
      <c r="AK112" s="20" t="s">
        <v>15</v>
      </c>
      <c r="AL112" s="20">
        <v>-1</v>
      </c>
      <c r="AM112" s="20" t="s">
        <v>18</v>
      </c>
      <c r="AN112">
        <v>110</v>
      </c>
    </row>
    <row r="113" spans="1:40" x14ac:dyDescent="0.25">
      <c r="A113" s="20" t="s">
        <v>7</v>
      </c>
      <c r="B113" s="21" t="s">
        <v>8</v>
      </c>
      <c r="C113" s="20" t="s">
        <v>9</v>
      </c>
      <c r="D113" s="21" t="s">
        <v>692</v>
      </c>
      <c r="E113" s="20">
        <v>2018</v>
      </c>
      <c r="F113" s="20">
        <v>4</v>
      </c>
      <c r="G113" s="20" t="s">
        <v>329</v>
      </c>
      <c r="H113" s="20" t="s">
        <v>10</v>
      </c>
      <c r="I113" s="20" t="s">
        <v>352</v>
      </c>
      <c r="J113" s="20">
        <v>4010</v>
      </c>
      <c r="K113" s="20" t="s">
        <v>693</v>
      </c>
      <c r="L113" s="20" t="s">
        <v>693</v>
      </c>
      <c r="M113" s="22">
        <v>0.77916666666666667</v>
      </c>
      <c r="N113" s="22">
        <v>0.875</v>
      </c>
      <c r="O113" s="20">
        <v>10</v>
      </c>
      <c r="P113" s="20">
        <v>13</v>
      </c>
      <c r="Q113" s="20" t="s">
        <v>694</v>
      </c>
      <c r="R113" s="20">
        <v>100</v>
      </c>
      <c r="S113" s="20" t="s">
        <v>11</v>
      </c>
      <c r="T113" s="20" t="s">
        <v>12</v>
      </c>
      <c r="U113" s="20" t="s">
        <v>13</v>
      </c>
      <c r="V113" s="20" t="s">
        <v>14</v>
      </c>
      <c r="W113" s="20" t="s">
        <v>15</v>
      </c>
      <c r="X113" s="20">
        <v>1794</v>
      </c>
      <c r="Y113" s="20">
        <v>138</v>
      </c>
      <c r="Z113" s="20">
        <v>3.3639999999999998E-3</v>
      </c>
      <c r="AA113" s="20">
        <v>533754</v>
      </c>
      <c r="AB113" s="20">
        <v>3.3610989332164254E-3</v>
      </c>
      <c r="AC113" s="20">
        <v>2.3E-2</v>
      </c>
      <c r="AD113" s="20" t="s">
        <v>16</v>
      </c>
      <c r="AE113" s="20" t="s">
        <v>17</v>
      </c>
      <c r="AF113" s="20">
        <v>0</v>
      </c>
      <c r="AG113" s="20" t="s">
        <v>694</v>
      </c>
      <c r="AH113" s="20" t="s">
        <v>339</v>
      </c>
      <c r="AI113" s="20" t="s">
        <v>15</v>
      </c>
      <c r="AJ113" s="20">
        <v>-1</v>
      </c>
      <c r="AK113" s="20" t="s">
        <v>15</v>
      </c>
      <c r="AL113" s="20">
        <v>-1</v>
      </c>
      <c r="AM113" s="20" t="s">
        <v>18</v>
      </c>
      <c r="AN113">
        <v>111</v>
      </c>
    </row>
    <row r="114" spans="1:40" x14ac:dyDescent="0.25">
      <c r="A114" s="20" t="s">
        <v>7</v>
      </c>
      <c r="B114" s="21" t="s">
        <v>8</v>
      </c>
      <c r="C114" s="20" t="s">
        <v>9</v>
      </c>
      <c r="D114" s="21" t="s">
        <v>695</v>
      </c>
      <c r="E114" s="20">
        <v>2018</v>
      </c>
      <c r="F114" s="20">
        <v>4</v>
      </c>
      <c r="G114" s="20" t="s">
        <v>329</v>
      </c>
      <c r="H114" s="20" t="s">
        <v>10</v>
      </c>
      <c r="I114" s="20" t="s">
        <v>352</v>
      </c>
      <c r="J114" s="20">
        <v>4010</v>
      </c>
      <c r="K114" s="20" t="s">
        <v>693</v>
      </c>
      <c r="L114" s="20" t="s">
        <v>693</v>
      </c>
      <c r="M114" s="22">
        <v>0.83888888888888891</v>
      </c>
      <c r="N114" s="22">
        <v>0.91666666666666663</v>
      </c>
      <c r="O114" s="20">
        <v>40</v>
      </c>
      <c r="P114" s="20">
        <v>53</v>
      </c>
      <c r="Q114" s="20" t="s">
        <v>696</v>
      </c>
      <c r="R114" s="20">
        <v>100</v>
      </c>
      <c r="S114" s="20" t="s">
        <v>11</v>
      </c>
      <c r="T114" s="20" t="s">
        <v>12</v>
      </c>
      <c r="U114" s="20" t="s">
        <v>13</v>
      </c>
      <c r="V114" s="20" t="s">
        <v>14</v>
      </c>
      <c r="W114" s="20" t="s">
        <v>15</v>
      </c>
      <c r="X114" s="20">
        <v>5936</v>
      </c>
      <c r="Y114" s="20">
        <v>112</v>
      </c>
      <c r="Z114" s="20">
        <v>1.1131E-2</v>
      </c>
      <c r="AA114" s="20">
        <v>533754</v>
      </c>
      <c r="AB114" s="20">
        <v>1.1121228131311427E-2</v>
      </c>
      <c r="AC114" s="20">
        <v>7.4999999999999997E-2</v>
      </c>
      <c r="AD114" s="20" t="s">
        <v>16</v>
      </c>
      <c r="AE114" s="20" t="s">
        <v>17</v>
      </c>
      <c r="AF114" s="20">
        <v>0</v>
      </c>
      <c r="AG114" s="20" t="s">
        <v>696</v>
      </c>
      <c r="AH114" s="20" t="s">
        <v>339</v>
      </c>
      <c r="AI114" s="20" t="s">
        <v>15</v>
      </c>
      <c r="AJ114" s="20">
        <v>-1</v>
      </c>
      <c r="AK114" s="20" t="s">
        <v>15</v>
      </c>
      <c r="AL114" s="20">
        <v>-1</v>
      </c>
      <c r="AM114" s="20" t="s">
        <v>697</v>
      </c>
      <c r="AN114">
        <v>112</v>
      </c>
    </row>
    <row r="115" spans="1:40" x14ac:dyDescent="0.25">
      <c r="A115" s="20" t="s">
        <v>7</v>
      </c>
      <c r="B115" s="21" t="s">
        <v>8</v>
      </c>
      <c r="C115" s="20" t="s">
        <v>9</v>
      </c>
      <c r="D115" s="21" t="s">
        <v>698</v>
      </c>
      <c r="E115" s="20">
        <v>2018</v>
      </c>
      <c r="F115" s="20">
        <v>4</v>
      </c>
      <c r="G115" s="20" t="s">
        <v>323</v>
      </c>
      <c r="H115" s="20" t="s">
        <v>10</v>
      </c>
      <c r="I115" s="20" t="s">
        <v>324</v>
      </c>
      <c r="J115" s="20">
        <v>4020</v>
      </c>
      <c r="K115" s="20" t="s">
        <v>699</v>
      </c>
      <c r="L115" s="20" t="s">
        <v>699</v>
      </c>
      <c r="M115" s="22">
        <v>0.52500000000000002</v>
      </c>
      <c r="N115" s="22">
        <v>0.70763888888888893</v>
      </c>
      <c r="O115" s="20">
        <v>46</v>
      </c>
      <c r="P115" s="20">
        <v>103</v>
      </c>
      <c r="Q115" s="20" t="s">
        <v>574</v>
      </c>
      <c r="R115" s="20">
        <v>100</v>
      </c>
      <c r="S115" s="20" t="s">
        <v>11</v>
      </c>
      <c r="T115" s="20" t="s">
        <v>12</v>
      </c>
      <c r="U115" s="20" t="s">
        <v>13</v>
      </c>
      <c r="V115" s="20" t="s">
        <v>14</v>
      </c>
      <c r="W115" s="20" t="s">
        <v>15</v>
      </c>
      <c r="X115" s="20">
        <v>27089</v>
      </c>
      <c r="Y115" s="20">
        <v>263</v>
      </c>
      <c r="Z115" s="20">
        <v>5.0797000000000002E-2</v>
      </c>
      <c r="AA115" s="20">
        <v>533754</v>
      </c>
      <c r="AB115" s="20">
        <v>5.0751844482664302E-2</v>
      </c>
      <c r="AC115" s="20">
        <v>0.20200000000000001</v>
      </c>
      <c r="AD115" s="20" t="s">
        <v>16</v>
      </c>
      <c r="AE115" s="20" t="s">
        <v>17</v>
      </c>
      <c r="AF115" s="20">
        <v>0</v>
      </c>
      <c r="AG115" s="20" t="s">
        <v>574</v>
      </c>
      <c r="AH115" s="20" t="s">
        <v>589</v>
      </c>
      <c r="AI115" s="20" t="s">
        <v>15</v>
      </c>
      <c r="AJ115" s="20">
        <v>-1</v>
      </c>
      <c r="AK115" s="20" t="s">
        <v>15</v>
      </c>
      <c r="AL115" s="20">
        <v>-1</v>
      </c>
      <c r="AM115" s="20" t="s">
        <v>18</v>
      </c>
      <c r="AN115">
        <v>113</v>
      </c>
    </row>
    <row r="116" spans="1:40" x14ac:dyDescent="0.25">
      <c r="A116" s="20" t="s">
        <v>7</v>
      </c>
      <c r="B116" s="21" t="s">
        <v>8</v>
      </c>
      <c r="C116" s="20" t="s">
        <v>9</v>
      </c>
      <c r="D116" s="21" t="s">
        <v>700</v>
      </c>
      <c r="E116" s="20">
        <v>2018</v>
      </c>
      <c r="F116" s="20">
        <v>4</v>
      </c>
      <c r="G116" s="20" t="s">
        <v>329</v>
      </c>
      <c r="H116" s="20" t="s">
        <v>10</v>
      </c>
      <c r="I116" s="20" t="s">
        <v>376</v>
      </c>
      <c r="J116" s="20">
        <v>4010</v>
      </c>
      <c r="K116" s="20" t="s">
        <v>699</v>
      </c>
      <c r="L116" s="20" t="s">
        <v>699</v>
      </c>
      <c r="M116" s="22">
        <v>0.38055555555555554</v>
      </c>
      <c r="N116" s="22">
        <v>0.59791666666666665</v>
      </c>
      <c r="O116" s="20">
        <v>23</v>
      </c>
      <c r="P116" s="20">
        <v>34</v>
      </c>
      <c r="Q116" s="20" t="s">
        <v>701</v>
      </c>
      <c r="R116" s="20">
        <v>100</v>
      </c>
      <c r="S116" s="20" t="s">
        <v>11</v>
      </c>
      <c r="T116" s="20" t="s">
        <v>27</v>
      </c>
      <c r="U116" s="20" t="s">
        <v>13</v>
      </c>
      <c r="V116" s="20" t="s">
        <v>14</v>
      </c>
      <c r="W116" s="20" t="s">
        <v>15</v>
      </c>
      <c r="X116" s="20">
        <v>10642</v>
      </c>
      <c r="Y116" s="20">
        <v>313</v>
      </c>
      <c r="Z116" s="20">
        <v>1.9956000000000002E-2</v>
      </c>
      <c r="AA116" s="20">
        <v>533754</v>
      </c>
      <c r="AB116" s="20">
        <v>1.9938023883661761E-2</v>
      </c>
      <c r="AC116" s="20">
        <v>0.12</v>
      </c>
      <c r="AD116" s="20" t="s">
        <v>16</v>
      </c>
      <c r="AE116" s="20" t="s">
        <v>17</v>
      </c>
      <c r="AF116" s="20">
        <v>0</v>
      </c>
      <c r="AG116" s="20" t="s">
        <v>701</v>
      </c>
      <c r="AH116" s="20" t="s">
        <v>702</v>
      </c>
      <c r="AI116" s="20" t="s">
        <v>15</v>
      </c>
      <c r="AJ116" s="20">
        <v>-1</v>
      </c>
      <c r="AK116" s="20" t="s">
        <v>15</v>
      </c>
      <c r="AL116" s="20">
        <v>-1</v>
      </c>
      <c r="AM116" s="20" t="s">
        <v>18</v>
      </c>
      <c r="AN116">
        <v>114</v>
      </c>
    </row>
    <row r="117" spans="1:40" x14ac:dyDescent="0.25">
      <c r="A117" s="20" t="s">
        <v>7</v>
      </c>
      <c r="B117" s="21" t="s">
        <v>8</v>
      </c>
      <c r="C117" s="20" t="s">
        <v>9</v>
      </c>
      <c r="D117" s="21" t="s">
        <v>703</v>
      </c>
      <c r="E117" s="20">
        <v>2018</v>
      </c>
      <c r="F117" s="20">
        <v>4</v>
      </c>
      <c r="G117" s="20" t="s">
        <v>342</v>
      </c>
      <c r="H117" s="20" t="s">
        <v>342</v>
      </c>
      <c r="I117" s="20" t="s">
        <v>343</v>
      </c>
      <c r="J117" s="20">
        <v>4010</v>
      </c>
      <c r="K117" s="20" t="s">
        <v>699</v>
      </c>
      <c r="L117" s="20" t="s">
        <v>699</v>
      </c>
      <c r="M117" s="22">
        <v>0.42430555555555555</v>
      </c>
      <c r="N117" s="22">
        <v>0.48819444444444443</v>
      </c>
      <c r="O117" s="20">
        <v>33</v>
      </c>
      <c r="P117" s="20">
        <v>73</v>
      </c>
      <c r="Q117" s="20" t="s">
        <v>462</v>
      </c>
      <c r="R117" s="20">
        <v>0</v>
      </c>
      <c r="S117" s="20" t="s">
        <v>11</v>
      </c>
      <c r="T117" s="20" t="s">
        <v>12</v>
      </c>
      <c r="U117" s="20" t="s">
        <v>13</v>
      </c>
      <c r="V117" s="20" t="s">
        <v>14</v>
      </c>
      <c r="W117" s="20" t="s">
        <v>15</v>
      </c>
      <c r="X117" s="20">
        <v>6716</v>
      </c>
      <c r="Y117" s="20">
        <v>92</v>
      </c>
      <c r="Z117" s="20">
        <v>1.2593999999999999E-2</v>
      </c>
      <c r="AA117" s="20">
        <v>533754</v>
      </c>
      <c r="AB117" s="20">
        <v>1.258257549357944E-2</v>
      </c>
      <c r="AC117" s="20">
        <v>5.0999999999999997E-2</v>
      </c>
      <c r="AD117" s="20" t="s">
        <v>16</v>
      </c>
      <c r="AE117" s="20" t="s">
        <v>17</v>
      </c>
      <c r="AF117" s="20">
        <v>0</v>
      </c>
      <c r="AG117" s="20" t="s">
        <v>462</v>
      </c>
      <c r="AH117" s="20" t="s">
        <v>496</v>
      </c>
      <c r="AI117" s="20" t="s">
        <v>15</v>
      </c>
      <c r="AJ117" s="20">
        <v>-1</v>
      </c>
      <c r="AK117" s="20" t="s">
        <v>15</v>
      </c>
      <c r="AL117" s="20">
        <v>-1</v>
      </c>
      <c r="AM117" s="20" t="s">
        <v>704</v>
      </c>
      <c r="AN117">
        <v>115</v>
      </c>
    </row>
    <row r="118" spans="1:40" x14ac:dyDescent="0.25">
      <c r="A118" s="20" t="s">
        <v>7</v>
      </c>
      <c r="B118" s="21" t="s">
        <v>8</v>
      </c>
      <c r="C118" s="20" t="s">
        <v>9</v>
      </c>
      <c r="D118" s="21" t="s">
        <v>705</v>
      </c>
      <c r="E118" s="20">
        <v>2018</v>
      </c>
      <c r="F118" s="20">
        <v>4</v>
      </c>
      <c r="G118" s="20" t="s">
        <v>323</v>
      </c>
      <c r="H118" s="20" t="s">
        <v>10</v>
      </c>
      <c r="I118" s="20" t="s">
        <v>489</v>
      </c>
      <c r="J118" s="20">
        <v>4030</v>
      </c>
      <c r="K118" s="20" t="s">
        <v>706</v>
      </c>
      <c r="L118" s="20" t="s">
        <v>706</v>
      </c>
      <c r="M118" s="22">
        <v>0.40763888888888888</v>
      </c>
      <c r="N118" s="22">
        <v>0.59861111111111109</v>
      </c>
      <c r="O118" s="20">
        <v>2</v>
      </c>
      <c r="P118" s="20">
        <v>4</v>
      </c>
      <c r="Q118" s="20" t="s">
        <v>707</v>
      </c>
      <c r="R118" s="20">
        <v>100</v>
      </c>
      <c r="S118" s="20" t="s">
        <v>53</v>
      </c>
      <c r="T118" s="20" t="s">
        <v>19</v>
      </c>
      <c r="U118" s="20" t="s">
        <v>13</v>
      </c>
      <c r="V118" s="20" t="s">
        <v>14</v>
      </c>
      <c r="W118" s="20" t="s">
        <v>15</v>
      </c>
      <c r="X118" s="20">
        <v>1100</v>
      </c>
      <c r="Y118" s="20">
        <v>275</v>
      </c>
      <c r="Z118" s="20">
        <v>2.0630000000000002E-3</v>
      </c>
      <c r="AA118" s="20">
        <v>533754</v>
      </c>
      <c r="AB118" s="20">
        <v>2.0608744852497591E-3</v>
      </c>
      <c r="AC118" s="20">
        <v>8.9999999999999993E-3</v>
      </c>
      <c r="AD118" s="20" t="s">
        <v>16</v>
      </c>
      <c r="AE118" s="20" t="s">
        <v>17</v>
      </c>
      <c r="AF118" s="20">
        <v>0</v>
      </c>
      <c r="AG118" s="20" t="s">
        <v>707</v>
      </c>
      <c r="AH118" s="20" t="s">
        <v>708</v>
      </c>
      <c r="AI118" s="20" t="s">
        <v>15</v>
      </c>
      <c r="AJ118" s="20">
        <v>-1</v>
      </c>
      <c r="AK118" s="20" t="s">
        <v>15</v>
      </c>
      <c r="AL118" s="20">
        <v>-1</v>
      </c>
      <c r="AM118" s="20" t="s">
        <v>18</v>
      </c>
      <c r="AN118">
        <v>116</v>
      </c>
    </row>
    <row r="119" spans="1:40" x14ac:dyDescent="0.25">
      <c r="A119" s="20" t="s">
        <v>7</v>
      </c>
      <c r="B119" s="21" t="s">
        <v>8</v>
      </c>
      <c r="C119" s="20" t="s">
        <v>9</v>
      </c>
      <c r="D119" s="21" t="s">
        <v>709</v>
      </c>
      <c r="E119" s="20">
        <v>2018</v>
      </c>
      <c r="F119" s="20">
        <v>4</v>
      </c>
      <c r="G119" s="20" t="s">
        <v>323</v>
      </c>
      <c r="H119" s="20" t="s">
        <v>10</v>
      </c>
      <c r="I119" s="20" t="s">
        <v>324</v>
      </c>
      <c r="J119" s="20">
        <v>4030</v>
      </c>
      <c r="K119" s="20" t="s">
        <v>710</v>
      </c>
      <c r="L119" s="20" t="s">
        <v>710</v>
      </c>
      <c r="M119" s="22">
        <v>0.49513888888888885</v>
      </c>
      <c r="N119" s="22">
        <v>0.60138888888888886</v>
      </c>
      <c r="O119" s="20">
        <v>73</v>
      </c>
      <c r="P119" s="20">
        <v>121</v>
      </c>
      <c r="Q119" s="20" t="s">
        <v>326</v>
      </c>
      <c r="R119" s="20">
        <v>100</v>
      </c>
      <c r="S119" s="20" t="s">
        <v>11</v>
      </c>
      <c r="T119" s="20" t="s">
        <v>12</v>
      </c>
      <c r="U119" s="20" t="s">
        <v>13</v>
      </c>
      <c r="V119" s="20" t="s">
        <v>14</v>
      </c>
      <c r="W119" s="20" t="s">
        <v>15</v>
      </c>
      <c r="X119" s="20">
        <v>18513</v>
      </c>
      <c r="Y119" s="20">
        <v>153</v>
      </c>
      <c r="Z119" s="20">
        <v>3.4715999999999997E-2</v>
      </c>
      <c r="AA119" s="20">
        <v>533754</v>
      </c>
      <c r="AB119" s="20">
        <v>3.4684517586753449E-2</v>
      </c>
      <c r="AC119" s="20">
        <v>0.186</v>
      </c>
      <c r="AD119" s="20" t="s">
        <v>16</v>
      </c>
      <c r="AE119" s="20" t="s">
        <v>17</v>
      </c>
      <c r="AF119" s="20">
        <v>0</v>
      </c>
      <c r="AG119" s="20" t="s">
        <v>326</v>
      </c>
      <c r="AH119" s="20" t="s">
        <v>327</v>
      </c>
      <c r="AI119" s="20" t="s">
        <v>15</v>
      </c>
      <c r="AJ119" s="20">
        <v>-1</v>
      </c>
      <c r="AK119" s="20" t="s">
        <v>15</v>
      </c>
      <c r="AL119" s="20">
        <v>-1</v>
      </c>
      <c r="AM119" s="20" t="s">
        <v>18</v>
      </c>
      <c r="AN119">
        <v>117</v>
      </c>
    </row>
    <row r="120" spans="1:40" x14ac:dyDescent="0.25">
      <c r="A120" s="20" t="s">
        <v>7</v>
      </c>
      <c r="B120" s="21" t="s">
        <v>8</v>
      </c>
      <c r="C120" s="20" t="s">
        <v>9</v>
      </c>
      <c r="D120" s="21" t="s">
        <v>711</v>
      </c>
      <c r="E120" s="20">
        <v>2018</v>
      </c>
      <c r="F120" s="20">
        <v>4</v>
      </c>
      <c r="G120" s="20" t="s">
        <v>449</v>
      </c>
      <c r="H120" s="20" t="s">
        <v>10</v>
      </c>
      <c r="I120" s="20" t="s">
        <v>450</v>
      </c>
      <c r="J120" s="20">
        <v>4012</v>
      </c>
      <c r="K120" s="20" t="s">
        <v>712</v>
      </c>
      <c r="L120" s="20" t="s">
        <v>712</v>
      </c>
      <c r="M120" s="22">
        <v>0.32013888888888892</v>
      </c>
      <c r="N120" s="22">
        <v>0.41041666666666665</v>
      </c>
      <c r="O120" s="20">
        <v>90</v>
      </c>
      <c r="P120" s="20">
        <v>78</v>
      </c>
      <c r="Q120" s="20" t="s">
        <v>713</v>
      </c>
      <c r="R120" s="20">
        <v>100</v>
      </c>
      <c r="S120" s="20" t="s">
        <v>11</v>
      </c>
      <c r="T120" s="20" t="s">
        <v>12</v>
      </c>
      <c r="U120" s="20" t="s">
        <v>13</v>
      </c>
      <c r="V120" s="20" t="s">
        <v>14</v>
      </c>
      <c r="W120" s="20" t="s">
        <v>15</v>
      </c>
      <c r="X120" s="20">
        <v>10140</v>
      </c>
      <c r="Y120" s="20">
        <v>130</v>
      </c>
      <c r="Z120" s="20">
        <v>1.9015000000000001E-2</v>
      </c>
      <c r="AA120" s="20">
        <v>533754</v>
      </c>
      <c r="AB120" s="20">
        <v>1.8997515709484145E-2</v>
      </c>
      <c r="AC120" s="20">
        <v>0.19500000000000001</v>
      </c>
      <c r="AD120" s="20" t="s">
        <v>16</v>
      </c>
      <c r="AE120" s="20" t="s">
        <v>17</v>
      </c>
      <c r="AF120" s="20">
        <v>0</v>
      </c>
      <c r="AG120" s="20" t="s">
        <v>713</v>
      </c>
      <c r="AH120" s="20" t="s">
        <v>714</v>
      </c>
      <c r="AI120" s="20" t="s">
        <v>15</v>
      </c>
      <c r="AJ120" s="20">
        <v>-1</v>
      </c>
      <c r="AK120" s="20" t="s">
        <v>15</v>
      </c>
      <c r="AL120" s="20">
        <v>-1</v>
      </c>
      <c r="AM120" s="20" t="s">
        <v>18</v>
      </c>
      <c r="AN120">
        <v>118</v>
      </c>
    </row>
    <row r="121" spans="1:40" x14ac:dyDescent="0.25">
      <c r="A121" s="20" t="s">
        <v>7</v>
      </c>
      <c r="B121" s="21" t="s">
        <v>8</v>
      </c>
      <c r="C121" s="20" t="s">
        <v>9</v>
      </c>
      <c r="D121" s="21" t="s">
        <v>715</v>
      </c>
      <c r="E121" s="20">
        <v>2018</v>
      </c>
      <c r="F121" s="20">
        <v>4</v>
      </c>
      <c r="G121" s="20" t="s">
        <v>342</v>
      </c>
      <c r="H121" s="20" t="s">
        <v>342</v>
      </c>
      <c r="I121" s="20" t="s">
        <v>361</v>
      </c>
      <c r="J121" s="20">
        <v>4020</v>
      </c>
      <c r="K121" s="20" t="s">
        <v>712</v>
      </c>
      <c r="L121" s="20" t="s">
        <v>712</v>
      </c>
      <c r="M121" s="22">
        <v>0.65972222222222221</v>
      </c>
      <c r="N121" s="22">
        <v>0.71319444444444446</v>
      </c>
      <c r="O121" s="20">
        <v>40</v>
      </c>
      <c r="P121" s="20">
        <v>90</v>
      </c>
      <c r="Q121" s="20" t="s">
        <v>716</v>
      </c>
      <c r="R121" s="20">
        <v>0</v>
      </c>
      <c r="S121" s="20" t="s">
        <v>11</v>
      </c>
      <c r="T121" s="20" t="s">
        <v>12</v>
      </c>
      <c r="U121" s="20" t="s">
        <v>13</v>
      </c>
      <c r="V121" s="20" t="s">
        <v>14</v>
      </c>
      <c r="W121" s="20" t="s">
        <v>15</v>
      </c>
      <c r="X121" s="20">
        <v>6930</v>
      </c>
      <c r="Y121" s="20">
        <v>77</v>
      </c>
      <c r="Z121" s="20">
        <v>1.2995E-2</v>
      </c>
      <c r="AA121" s="20">
        <v>533754</v>
      </c>
      <c r="AB121" s="20">
        <v>1.2983509257073483E-2</v>
      </c>
      <c r="AC121" s="20">
        <v>5.0999999999999997E-2</v>
      </c>
      <c r="AD121" s="20" t="s">
        <v>16</v>
      </c>
      <c r="AE121" s="20" t="s">
        <v>17</v>
      </c>
      <c r="AF121" s="20">
        <v>0</v>
      </c>
      <c r="AG121" s="20" t="s">
        <v>716</v>
      </c>
      <c r="AH121" s="20" t="s">
        <v>363</v>
      </c>
      <c r="AI121" s="20" t="s">
        <v>15</v>
      </c>
      <c r="AJ121" s="20">
        <v>-1</v>
      </c>
      <c r="AK121" s="20" t="s">
        <v>15</v>
      </c>
      <c r="AL121" s="20">
        <v>-1</v>
      </c>
      <c r="AM121" s="20" t="s">
        <v>717</v>
      </c>
      <c r="AN121">
        <v>119</v>
      </c>
    </row>
    <row r="122" spans="1:40" x14ac:dyDescent="0.25">
      <c r="A122" s="20" t="s">
        <v>7</v>
      </c>
      <c r="B122" s="21" t="s">
        <v>8</v>
      </c>
      <c r="C122" s="20" t="s">
        <v>9</v>
      </c>
      <c r="D122" s="21" t="s">
        <v>718</v>
      </c>
      <c r="E122" s="20">
        <v>2018</v>
      </c>
      <c r="F122" s="20">
        <v>4</v>
      </c>
      <c r="G122" s="20" t="s">
        <v>342</v>
      </c>
      <c r="H122" s="20" t="s">
        <v>342</v>
      </c>
      <c r="I122" s="20" t="s">
        <v>366</v>
      </c>
      <c r="J122" s="20">
        <v>4090</v>
      </c>
      <c r="K122" s="20" t="s">
        <v>712</v>
      </c>
      <c r="L122" s="20" t="s">
        <v>712</v>
      </c>
      <c r="M122" s="22">
        <v>0.30972222222222223</v>
      </c>
      <c r="N122" s="22">
        <v>0.5708333333333333</v>
      </c>
      <c r="O122" s="20">
        <v>110</v>
      </c>
      <c r="P122" s="20">
        <v>3</v>
      </c>
      <c r="Q122" s="20" t="s">
        <v>719</v>
      </c>
      <c r="R122" s="20">
        <v>0</v>
      </c>
      <c r="S122" s="20" t="s">
        <v>11</v>
      </c>
      <c r="T122" s="20" t="s">
        <v>12</v>
      </c>
      <c r="U122" s="20" t="s">
        <v>13</v>
      </c>
      <c r="V122" s="20" t="s">
        <v>14</v>
      </c>
      <c r="W122" s="20" t="s">
        <v>15</v>
      </c>
      <c r="X122" s="20">
        <v>1128</v>
      </c>
      <c r="Y122" s="20">
        <v>376</v>
      </c>
      <c r="Z122" s="20">
        <v>2.1150000000000001E-3</v>
      </c>
      <c r="AA122" s="20">
        <v>533754</v>
      </c>
      <c r="AB122" s="20">
        <v>2.1133331085106621E-3</v>
      </c>
      <c r="AC122" s="20">
        <v>0.68899999999999995</v>
      </c>
      <c r="AD122" s="20" t="s">
        <v>16</v>
      </c>
      <c r="AE122" s="20" t="s">
        <v>17</v>
      </c>
      <c r="AF122" s="20">
        <v>0</v>
      </c>
      <c r="AG122" s="20" t="s">
        <v>719</v>
      </c>
      <c r="AH122" s="20" t="s">
        <v>386</v>
      </c>
      <c r="AI122" s="20" t="s">
        <v>15</v>
      </c>
      <c r="AJ122" s="20">
        <v>-1</v>
      </c>
      <c r="AK122" s="20" t="s">
        <v>15</v>
      </c>
      <c r="AL122" s="20">
        <v>-1</v>
      </c>
      <c r="AM122" s="20" t="s">
        <v>720</v>
      </c>
      <c r="AN122">
        <v>120</v>
      </c>
    </row>
    <row r="123" spans="1:40" x14ac:dyDescent="0.25">
      <c r="A123" s="20" t="s">
        <v>7</v>
      </c>
      <c r="B123" s="21" t="s">
        <v>8</v>
      </c>
      <c r="C123" s="20" t="s">
        <v>9</v>
      </c>
      <c r="D123" s="21" t="s">
        <v>721</v>
      </c>
      <c r="E123" s="20">
        <v>2018</v>
      </c>
      <c r="F123" s="20">
        <v>4</v>
      </c>
      <c r="G123" s="20" t="s">
        <v>329</v>
      </c>
      <c r="H123" s="20" t="s">
        <v>10</v>
      </c>
      <c r="I123" s="20" t="s">
        <v>352</v>
      </c>
      <c r="J123" s="20">
        <v>4010</v>
      </c>
      <c r="K123" s="20" t="s">
        <v>722</v>
      </c>
      <c r="L123" s="20" t="s">
        <v>722</v>
      </c>
      <c r="M123" s="22">
        <v>0.55833333333333335</v>
      </c>
      <c r="N123" s="22">
        <v>0.76041666666666663</v>
      </c>
      <c r="O123" s="20">
        <v>39</v>
      </c>
      <c r="P123" s="20">
        <v>46</v>
      </c>
      <c r="Q123" s="20" t="s">
        <v>547</v>
      </c>
      <c r="R123" s="20">
        <v>100</v>
      </c>
      <c r="S123" s="20" t="s">
        <v>11</v>
      </c>
      <c r="T123" s="20" t="s">
        <v>12</v>
      </c>
      <c r="U123" s="20" t="s">
        <v>13</v>
      </c>
      <c r="V123" s="20" t="s">
        <v>14</v>
      </c>
      <c r="W123" s="20" t="s">
        <v>15</v>
      </c>
      <c r="X123" s="20">
        <v>13386</v>
      </c>
      <c r="Y123" s="20">
        <v>291</v>
      </c>
      <c r="Z123" s="20">
        <v>2.5100999999999998E-2</v>
      </c>
      <c r="AA123" s="20">
        <v>533754</v>
      </c>
      <c r="AB123" s="20">
        <v>2.5078968963230253E-2</v>
      </c>
      <c r="AC123" s="20">
        <v>0.189</v>
      </c>
      <c r="AD123" s="20" t="s">
        <v>16</v>
      </c>
      <c r="AE123" s="20" t="s">
        <v>17</v>
      </c>
      <c r="AF123" s="20">
        <v>0</v>
      </c>
      <c r="AG123" s="20" t="s">
        <v>547</v>
      </c>
      <c r="AH123" s="20" t="s">
        <v>22</v>
      </c>
      <c r="AI123" s="20" t="s">
        <v>15</v>
      </c>
      <c r="AJ123" s="20">
        <v>-1</v>
      </c>
      <c r="AK123" s="20" t="s">
        <v>15</v>
      </c>
      <c r="AL123" s="20">
        <v>-1</v>
      </c>
      <c r="AM123" s="20" t="s">
        <v>723</v>
      </c>
      <c r="AN123">
        <v>121</v>
      </c>
    </row>
    <row r="124" spans="1:40" x14ac:dyDescent="0.25">
      <c r="A124" s="20" t="s">
        <v>7</v>
      </c>
      <c r="B124" s="21" t="s">
        <v>8</v>
      </c>
      <c r="C124" s="20" t="s">
        <v>9</v>
      </c>
      <c r="D124" s="21" t="s">
        <v>724</v>
      </c>
      <c r="E124" s="20">
        <v>2018</v>
      </c>
      <c r="F124" s="20">
        <v>4</v>
      </c>
      <c r="G124" s="20" t="s">
        <v>342</v>
      </c>
      <c r="H124" s="20" t="s">
        <v>342</v>
      </c>
      <c r="I124" s="20" t="s">
        <v>366</v>
      </c>
      <c r="J124" s="20">
        <v>4020</v>
      </c>
      <c r="K124" s="20" t="s">
        <v>722</v>
      </c>
      <c r="L124" s="20" t="s">
        <v>722</v>
      </c>
      <c r="M124" s="22">
        <v>0.46111111111111108</v>
      </c>
      <c r="N124" s="22">
        <v>0.56944444444444442</v>
      </c>
      <c r="O124" s="20">
        <v>125</v>
      </c>
      <c r="P124" s="20">
        <v>13</v>
      </c>
      <c r="Q124" s="20" t="s">
        <v>725</v>
      </c>
      <c r="R124" s="20">
        <v>0</v>
      </c>
      <c r="S124" s="20" t="s">
        <v>11</v>
      </c>
      <c r="T124" s="20" t="s">
        <v>12</v>
      </c>
      <c r="U124" s="20" t="s">
        <v>13</v>
      </c>
      <c r="V124" s="20" t="s">
        <v>14</v>
      </c>
      <c r="W124" s="20" t="s">
        <v>15</v>
      </c>
      <c r="X124" s="20">
        <v>2028</v>
      </c>
      <c r="Y124" s="20">
        <v>156</v>
      </c>
      <c r="Z124" s="20">
        <v>3.803E-3</v>
      </c>
      <c r="AA124" s="20">
        <v>533754</v>
      </c>
      <c r="AB124" s="20">
        <v>3.799503141896829E-3</v>
      </c>
      <c r="AC124" s="20">
        <v>0.32500000000000001</v>
      </c>
      <c r="AD124" s="20" t="s">
        <v>16</v>
      </c>
      <c r="AE124" s="20" t="s">
        <v>17</v>
      </c>
      <c r="AF124" s="20">
        <v>0</v>
      </c>
      <c r="AG124" s="20" t="s">
        <v>725</v>
      </c>
      <c r="AH124" s="20" t="s">
        <v>638</v>
      </c>
      <c r="AI124" s="20" t="s">
        <v>15</v>
      </c>
      <c r="AJ124" s="20">
        <v>-1</v>
      </c>
      <c r="AK124" s="20" t="s">
        <v>15</v>
      </c>
      <c r="AL124" s="20">
        <v>-1</v>
      </c>
      <c r="AM124" s="20" t="s">
        <v>18</v>
      </c>
      <c r="AN124">
        <v>122</v>
      </c>
    </row>
    <row r="125" spans="1:40" x14ac:dyDescent="0.25">
      <c r="A125" s="20" t="s">
        <v>7</v>
      </c>
      <c r="B125" s="21" t="s">
        <v>8</v>
      </c>
      <c r="C125" s="20" t="s">
        <v>9</v>
      </c>
      <c r="D125" s="21" t="s">
        <v>726</v>
      </c>
      <c r="E125" s="20">
        <v>2018</v>
      </c>
      <c r="F125" s="20">
        <v>4</v>
      </c>
      <c r="G125" s="20" t="s">
        <v>342</v>
      </c>
      <c r="H125" s="20" t="s">
        <v>342</v>
      </c>
      <c r="I125" s="20" t="s">
        <v>361</v>
      </c>
      <c r="J125" s="20">
        <v>4030</v>
      </c>
      <c r="K125" s="20" t="s">
        <v>722</v>
      </c>
      <c r="L125" s="20" t="s">
        <v>722</v>
      </c>
      <c r="M125" s="22">
        <v>0.61736111111111114</v>
      </c>
      <c r="N125" s="22">
        <v>0.69097222222222221</v>
      </c>
      <c r="O125" s="20">
        <v>60</v>
      </c>
      <c r="P125" s="20">
        <v>99</v>
      </c>
      <c r="Q125" s="20" t="s">
        <v>727</v>
      </c>
      <c r="R125" s="20">
        <v>0</v>
      </c>
      <c r="S125" s="20" t="s">
        <v>11</v>
      </c>
      <c r="T125" s="20" t="s">
        <v>12</v>
      </c>
      <c r="U125" s="20" t="s">
        <v>13</v>
      </c>
      <c r="V125" s="20" t="s">
        <v>14</v>
      </c>
      <c r="W125" s="20" t="s">
        <v>15</v>
      </c>
      <c r="X125" s="20">
        <v>10494</v>
      </c>
      <c r="Y125" s="20">
        <v>106</v>
      </c>
      <c r="Z125" s="20">
        <v>1.9678000000000001E-2</v>
      </c>
      <c r="AA125" s="20">
        <v>533754</v>
      </c>
      <c r="AB125" s="20">
        <v>1.9660742589282704E-2</v>
      </c>
      <c r="AC125" s="20">
        <v>0.106</v>
      </c>
      <c r="AD125" s="20" t="s">
        <v>16</v>
      </c>
      <c r="AE125" s="20" t="s">
        <v>17</v>
      </c>
      <c r="AF125" s="20">
        <v>0</v>
      </c>
      <c r="AG125" s="20" t="s">
        <v>727</v>
      </c>
      <c r="AH125" s="20" t="s">
        <v>363</v>
      </c>
      <c r="AI125" s="20" t="s">
        <v>15</v>
      </c>
      <c r="AJ125" s="20">
        <v>-1</v>
      </c>
      <c r="AK125" s="20" t="s">
        <v>15</v>
      </c>
      <c r="AL125" s="20">
        <v>-1</v>
      </c>
      <c r="AM125" s="20" t="s">
        <v>728</v>
      </c>
      <c r="AN125">
        <v>123</v>
      </c>
    </row>
    <row r="126" spans="1:40" x14ac:dyDescent="0.25">
      <c r="A126" s="20" t="s">
        <v>7</v>
      </c>
      <c r="B126" s="21" t="s">
        <v>8</v>
      </c>
      <c r="C126" s="20" t="s">
        <v>9</v>
      </c>
      <c r="D126" s="21" t="s">
        <v>729</v>
      </c>
      <c r="E126" s="20">
        <v>2018</v>
      </c>
      <c r="F126" s="20">
        <v>4</v>
      </c>
      <c r="G126" s="20" t="s">
        <v>323</v>
      </c>
      <c r="H126" s="20" t="s">
        <v>10</v>
      </c>
      <c r="I126" s="20" t="s">
        <v>381</v>
      </c>
      <c r="J126" s="20">
        <v>4010</v>
      </c>
      <c r="K126" s="20" t="s">
        <v>730</v>
      </c>
      <c r="L126" s="20" t="s">
        <v>730</v>
      </c>
      <c r="M126" s="22">
        <v>0.45694444444444443</v>
      </c>
      <c r="N126" s="22">
        <v>0.57847222222222217</v>
      </c>
      <c r="O126" s="20">
        <v>20</v>
      </c>
      <c r="P126" s="20">
        <v>35</v>
      </c>
      <c r="Q126" s="20" t="s">
        <v>731</v>
      </c>
      <c r="R126" s="20">
        <v>100</v>
      </c>
      <c r="S126" s="20" t="s">
        <v>732</v>
      </c>
      <c r="T126" s="20" t="s">
        <v>373</v>
      </c>
      <c r="U126" s="20" t="s">
        <v>13</v>
      </c>
      <c r="V126" s="20" t="s">
        <v>14</v>
      </c>
      <c r="W126" s="20" t="s">
        <v>15</v>
      </c>
      <c r="X126" s="20">
        <v>6125</v>
      </c>
      <c r="Y126" s="20">
        <v>175</v>
      </c>
      <c r="Z126" s="20">
        <v>1.1486E-2</v>
      </c>
      <c r="AA126" s="20">
        <v>533754</v>
      </c>
      <c r="AB126" s="20">
        <v>1.1475323838322523E-2</v>
      </c>
      <c r="AC126" s="20">
        <v>5.8000000000000003E-2</v>
      </c>
      <c r="AD126" s="20" t="s">
        <v>16</v>
      </c>
      <c r="AE126" s="20" t="s">
        <v>17</v>
      </c>
      <c r="AF126" s="20">
        <v>0</v>
      </c>
      <c r="AG126" s="20" t="s">
        <v>731</v>
      </c>
      <c r="AH126" s="20" t="s">
        <v>273</v>
      </c>
      <c r="AI126" s="20" t="s">
        <v>15</v>
      </c>
      <c r="AJ126" s="20">
        <v>-1</v>
      </c>
      <c r="AK126" s="20" t="s">
        <v>15</v>
      </c>
      <c r="AL126" s="20">
        <v>-1</v>
      </c>
      <c r="AM126" s="20" t="s">
        <v>18</v>
      </c>
      <c r="AN126">
        <v>124</v>
      </c>
    </row>
    <row r="127" spans="1:40" x14ac:dyDescent="0.25">
      <c r="A127" s="20" t="s">
        <v>7</v>
      </c>
      <c r="B127" s="21" t="s">
        <v>8</v>
      </c>
      <c r="C127" s="20" t="s">
        <v>9</v>
      </c>
      <c r="D127" s="21" t="s">
        <v>733</v>
      </c>
      <c r="E127" s="20">
        <v>2018</v>
      </c>
      <c r="F127" s="20">
        <v>4</v>
      </c>
      <c r="G127" s="20" t="s">
        <v>323</v>
      </c>
      <c r="H127" s="20" t="s">
        <v>10</v>
      </c>
      <c r="I127" s="20" t="s">
        <v>324</v>
      </c>
      <c r="J127" s="20">
        <v>4050</v>
      </c>
      <c r="K127" s="20" t="s">
        <v>734</v>
      </c>
      <c r="L127" s="20" t="s">
        <v>734</v>
      </c>
      <c r="M127" s="22">
        <v>0.32847222222222222</v>
      </c>
      <c r="N127" s="22">
        <v>0.46666666666666662</v>
      </c>
      <c r="O127" s="20">
        <v>19</v>
      </c>
      <c r="P127" s="20">
        <v>116</v>
      </c>
      <c r="Q127" s="20" t="s">
        <v>735</v>
      </c>
      <c r="R127" s="20">
        <v>100</v>
      </c>
      <c r="S127" s="20" t="s">
        <v>11</v>
      </c>
      <c r="T127" s="20" t="s">
        <v>12</v>
      </c>
      <c r="U127" s="20" t="s">
        <v>13</v>
      </c>
      <c r="V127" s="20" t="s">
        <v>14</v>
      </c>
      <c r="W127" s="20" t="s">
        <v>15</v>
      </c>
      <c r="X127" s="20">
        <v>23084</v>
      </c>
      <c r="Y127" s="20">
        <v>199</v>
      </c>
      <c r="Z127" s="20">
        <v>4.3286999999999999E-2</v>
      </c>
      <c r="AA127" s="20">
        <v>533754</v>
      </c>
      <c r="AB127" s="20">
        <v>4.3248387834095854E-2</v>
      </c>
      <c r="AC127" s="20">
        <v>6.3E-2</v>
      </c>
      <c r="AD127" s="20" t="s">
        <v>16</v>
      </c>
      <c r="AE127" s="20" t="s">
        <v>17</v>
      </c>
      <c r="AF127" s="20">
        <v>0</v>
      </c>
      <c r="AG127" s="20" t="s">
        <v>735</v>
      </c>
      <c r="AH127" s="20" t="s">
        <v>486</v>
      </c>
      <c r="AI127" s="20" t="s">
        <v>15</v>
      </c>
      <c r="AJ127" s="20">
        <v>-1</v>
      </c>
      <c r="AK127" s="20" t="s">
        <v>15</v>
      </c>
      <c r="AL127" s="20">
        <v>-1</v>
      </c>
      <c r="AM127" s="20" t="s">
        <v>736</v>
      </c>
      <c r="AN127">
        <v>125</v>
      </c>
    </row>
    <row r="128" spans="1:40" x14ac:dyDescent="0.25">
      <c r="A128" s="20" t="s">
        <v>7</v>
      </c>
      <c r="B128" s="21" t="s">
        <v>8</v>
      </c>
      <c r="C128" s="20" t="s">
        <v>9</v>
      </c>
      <c r="D128" s="21" t="s">
        <v>737</v>
      </c>
      <c r="E128" s="20">
        <v>2018</v>
      </c>
      <c r="F128" s="20">
        <v>4</v>
      </c>
      <c r="G128" s="20" t="s">
        <v>329</v>
      </c>
      <c r="H128" s="20" t="s">
        <v>10</v>
      </c>
      <c r="I128" s="20" t="s">
        <v>352</v>
      </c>
      <c r="J128" s="20">
        <v>4020</v>
      </c>
      <c r="K128" s="20" t="s">
        <v>734</v>
      </c>
      <c r="L128" s="20" t="s">
        <v>734</v>
      </c>
      <c r="M128" s="22">
        <v>0.36249999999999999</v>
      </c>
      <c r="N128" s="22">
        <v>0.59375</v>
      </c>
      <c r="O128" s="20">
        <v>44</v>
      </c>
      <c r="P128" s="20">
        <v>89</v>
      </c>
      <c r="Q128" s="20" t="s">
        <v>681</v>
      </c>
      <c r="R128" s="20">
        <v>100</v>
      </c>
      <c r="S128" s="20" t="s">
        <v>11</v>
      </c>
      <c r="T128" s="20" t="s">
        <v>12</v>
      </c>
      <c r="U128" s="20" t="s">
        <v>13</v>
      </c>
      <c r="V128" s="20" t="s">
        <v>14</v>
      </c>
      <c r="W128" s="20" t="s">
        <v>15</v>
      </c>
      <c r="X128" s="20">
        <v>29637</v>
      </c>
      <c r="Y128" s="20">
        <v>333</v>
      </c>
      <c r="Z128" s="20">
        <v>5.5574999999999999E-2</v>
      </c>
      <c r="AA128" s="20">
        <v>533754</v>
      </c>
      <c r="AB128" s="20">
        <v>5.5525579199406469E-2</v>
      </c>
      <c r="AC128" s="20">
        <v>0.24399999999999999</v>
      </c>
      <c r="AD128" s="20" t="s">
        <v>16</v>
      </c>
      <c r="AE128" s="20" t="s">
        <v>17</v>
      </c>
      <c r="AF128" s="20">
        <v>0</v>
      </c>
      <c r="AG128" s="20" t="s">
        <v>681</v>
      </c>
      <c r="AH128" s="20" t="s">
        <v>334</v>
      </c>
      <c r="AI128" s="20" t="s">
        <v>15</v>
      </c>
      <c r="AJ128" s="20">
        <v>-1</v>
      </c>
      <c r="AK128" s="20" t="s">
        <v>15</v>
      </c>
      <c r="AL128" s="20">
        <v>-1</v>
      </c>
      <c r="AM128" s="20" t="s">
        <v>18</v>
      </c>
      <c r="AN128">
        <v>126</v>
      </c>
    </row>
    <row r="129" spans="1:40" x14ac:dyDescent="0.25">
      <c r="A129" s="20" t="s">
        <v>7</v>
      </c>
      <c r="B129" s="21" t="s">
        <v>8</v>
      </c>
      <c r="C129" s="20" t="s">
        <v>9</v>
      </c>
      <c r="D129" s="21" t="s">
        <v>738</v>
      </c>
      <c r="E129" s="20">
        <v>2018</v>
      </c>
      <c r="F129" s="20">
        <v>4</v>
      </c>
      <c r="G129" s="20" t="s">
        <v>342</v>
      </c>
      <c r="H129" s="20" t="s">
        <v>342</v>
      </c>
      <c r="I129" s="20" t="s">
        <v>343</v>
      </c>
      <c r="J129" s="20">
        <v>4010</v>
      </c>
      <c r="K129" s="20" t="s">
        <v>739</v>
      </c>
      <c r="L129" s="20" t="s">
        <v>739</v>
      </c>
      <c r="M129" s="22">
        <v>0.35347222222222219</v>
      </c>
      <c r="N129" s="22">
        <v>0.41597222222222219</v>
      </c>
      <c r="O129" s="20">
        <v>90</v>
      </c>
      <c r="P129" s="20">
        <v>89</v>
      </c>
      <c r="Q129" s="20" t="s">
        <v>740</v>
      </c>
      <c r="R129" s="20">
        <v>0</v>
      </c>
      <c r="S129" s="20" t="s">
        <v>11</v>
      </c>
      <c r="T129" s="20" t="s">
        <v>12</v>
      </c>
      <c r="U129" s="20" t="s">
        <v>13</v>
      </c>
      <c r="V129" s="20" t="s">
        <v>14</v>
      </c>
      <c r="W129" s="20" t="s">
        <v>15</v>
      </c>
      <c r="X129" s="20">
        <v>8010</v>
      </c>
      <c r="Y129" s="20">
        <v>90</v>
      </c>
      <c r="Z129" s="20">
        <v>1.502E-2</v>
      </c>
      <c r="AA129" s="20">
        <v>533754</v>
      </c>
      <c r="AB129" s="20">
        <v>1.5006913297136883E-2</v>
      </c>
      <c r="AC129" s="20">
        <v>0.13500000000000001</v>
      </c>
      <c r="AD129" s="20" t="s">
        <v>16</v>
      </c>
      <c r="AE129" s="20" t="s">
        <v>17</v>
      </c>
      <c r="AF129" s="20">
        <v>0</v>
      </c>
      <c r="AG129" s="20" t="s">
        <v>740</v>
      </c>
      <c r="AH129" s="20" t="s">
        <v>386</v>
      </c>
      <c r="AI129" s="20" t="s">
        <v>15</v>
      </c>
      <c r="AJ129" s="20">
        <v>-1</v>
      </c>
      <c r="AK129" s="20" t="s">
        <v>15</v>
      </c>
      <c r="AL129" s="20">
        <v>-1</v>
      </c>
      <c r="AM129" s="20" t="s">
        <v>741</v>
      </c>
      <c r="AN129">
        <v>127</v>
      </c>
    </row>
    <row r="130" spans="1:40" x14ac:dyDescent="0.25">
      <c r="A130" s="20" t="s">
        <v>7</v>
      </c>
      <c r="B130" s="21" t="s">
        <v>8</v>
      </c>
      <c r="C130" s="20" t="s">
        <v>9</v>
      </c>
      <c r="D130" s="21" t="s">
        <v>742</v>
      </c>
      <c r="E130" s="20">
        <v>2018</v>
      </c>
      <c r="F130" s="20">
        <v>4</v>
      </c>
      <c r="G130" s="20" t="s">
        <v>329</v>
      </c>
      <c r="H130" s="20" t="s">
        <v>10</v>
      </c>
      <c r="I130" s="20" t="s">
        <v>430</v>
      </c>
      <c r="J130" s="20">
        <v>4032</v>
      </c>
      <c r="K130" s="20" t="s">
        <v>739</v>
      </c>
      <c r="L130" s="20" t="s">
        <v>739</v>
      </c>
      <c r="M130" s="22">
        <v>0.7319444444444444</v>
      </c>
      <c r="N130" s="22">
        <v>0.82638888888888884</v>
      </c>
      <c r="O130" s="20">
        <v>20</v>
      </c>
      <c r="P130" s="20">
        <v>25</v>
      </c>
      <c r="Q130" s="20" t="s">
        <v>743</v>
      </c>
      <c r="R130" s="20">
        <v>100</v>
      </c>
      <c r="S130" s="20" t="s">
        <v>11</v>
      </c>
      <c r="T130" s="20" t="s">
        <v>12</v>
      </c>
      <c r="U130" s="20" t="s">
        <v>13</v>
      </c>
      <c r="V130" s="20" t="s">
        <v>14</v>
      </c>
      <c r="W130" s="20" t="s">
        <v>15</v>
      </c>
      <c r="X130" s="20">
        <v>3400</v>
      </c>
      <c r="Y130" s="20">
        <v>136</v>
      </c>
      <c r="Z130" s="20">
        <v>6.3759999999999997E-3</v>
      </c>
      <c r="AA130" s="20">
        <v>533754</v>
      </c>
      <c r="AB130" s="20">
        <v>6.3699756816810744E-3</v>
      </c>
      <c r="AC130" s="20">
        <v>4.4999999999999998E-2</v>
      </c>
      <c r="AD130" s="20" t="s">
        <v>16</v>
      </c>
      <c r="AE130" s="20" t="s">
        <v>17</v>
      </c>
      <c r="AF130" s="20">
        <v>0</v>
      </c>
      <c r="AG130" s="20" t="s">
        <v>743</v>
      </c>
      <c r="AH130" s="20" t="s">
        <v>434</v>
      </c>
      <c r="AI130" s="20" t="s">
        <v>15</v>
      </c>
      <c r="AJ130" s="20">
        <v>-1</v>
      </c>
      <c r="AK130" s="20" t="s">
        <v>15</v>
      </c>
      <c r="AL130" s="20">
        <v>-1</v>
      </c>
      <c r="AM130" s="20" t="s">
        <v>744</v>
      </c>
      <c r="AN130">
        <v>128</v>
      </c>
    </row>
    <row r="131" spans="1:40" x14ac:dyDescent="0.25">
      <c r="A131" s="20" t="s">
        <v>7</v>
      </c>
      <c r="B131" s="21" t="s">
        <v>8</v>
      </c>
      <c r="C131" s="20" t="s">
        <v>9</v>
      </c>
      <c r="D131" s="21" t="s">
        <v>745</v>
      </c>
      <c r="E131" s="20">
        <v>2018</v>
      </c>
      <c r="F131" s="20">
        <v>4</v>
      </c>
      <c r="G131" s="20" t="s">
        <v>342</v>
      </c>
      <c r="H131" s="20" t="s">
        <v>342</v>
      </c>
      <c r="I131" s="20" t="s">
        <v>361</v>
      </c>
      <c r="J131" s="20">
        <v>4030</v>
      </c>
      <c r="K131" s="20" t="s">
        <v>746</v>
      </c>
      <c r="L131" s="20" t="s">
        <v>746</v>
      </c>
      <c r="M131" s="22">
        <v>1.5277777777777777E-2</v>
      </c>
      <c r="N131" s="22">
        <v>6.1805555555555558E-2</v>
      </c>
      <c r="O131" s="20">
        <v>40</v>
      </c>
      <c r="P131" s="20">
        <v>92</v>
      </c>
      <c r="Q131" s="20" t="s">
        <v>747</v>
      </c>
      <c r="R131" s="20">
        <v>0</v>
      </c>
      <c r="S131" s="20" t="s">
        <v>11</v>
      </c>
      <c r="T131" s="20" t="s">
        <v>27</v>
      </c>
      <c r="U131" s="20" t="s">
        <v>13</v>
      </c>
      <c r="V131" s="20" t="s">
        <v>14</v>
      </c>
      <c r="W131" s="20" t="s">
        <v>15</v>
      </c>
      <c r="X131" s="20">
        <v>6164</v>
      </c>
      <c r="Y131" s="20">
        <v>67</v>
      </c>
      <c r="Z131" s="20">
        <v>1.1559E-2</v>
      </c>
      <c r="AA131" s="20">
        <v>533754</v>
      </c>
      <c r="AB131" s="20">
        <v>1.1548391206435924E-2</v>
      </c>
      <c r="AC131" s="20">
        <v>4.4999999999999998E-2</v>
      </c>
      <c r="AD131" s="20" t="s">
        <v>16</v>
      </c>
      <c r="AE131" s="20" t="s">
        <v>17</v>
      </c>
      <c r="AF131" s="20">
        <v>0</v>
      </c>
      <c r="AG131" s="20" t="s">
        <v>747</v>
      </c>
      <c r="AH131" s="20" t="s">
        <v>638</v>
      </c>
      <c r="AI131" s="20" t="s">
        <v>15</v>
      </c>
      <c r="AJ131" s="20">
        <v>-1</v>
      </c>
      <c r="AK131" s="20" t="s">
        <v>15</v>
      </c>
      <c r="AL131" s="20">
        <v>-1</v>
      </c>
      <c r="AM131" s="20" t="s">
        <v>18</v>
      </c>
      <c r="AN131">
        <v>129</v>
      </c>
    </row>
    <row r="132" spans="1:40" x14ac:dyDescent="0.25">
      <c r="A132" s="20" t="s">
        <v>7</v>
      </c>
      <c r="B132" s="21" t="s">
        <v>8</v>
      </c>
      <c r="C132" s="20" t="s">
        <v>9</v>
      </c>
      <c r="D132" s="21" t="s">
        <v>748</v>
      </c>
      <c r="E132" s="20">
        <v>2018</v>
      </c>
      <c r="F132" s="20">
        <v>4</v>
      </c>
      <c r="G132" s="20" t="s">
        <v>329</v>
      </c>
      <c r="H132" s="20" t="s">
        <v>10</v>
      </c>
      <c r="I132" s="20" t="s">
        <v>352</v>
      </c>
      <c r="J132" s="20">
        <v>4020</v>
      </c>
      <c r="K132" s="20" t="s">
        <v>749</v>
      </c>
      <c r="L132" s="20" t="s">
        <v>749</v>
      </c>
      <c r="M132" s="22">
        <v>0.50277777777777777</v>
      </c>
      <c r="N132" s="22">
        <v>0.70694444444444438</v>
      </c>
      <c r="O132" s="20">
        <v>132</v>
      </c>
      <c r="P132" s="20">
        <v>70</v>
      </c>
      <c r="Q132" s="20" t="s">
        <v>750</v>
      </c>
      <c r="R132" s="20">
        <v>100</v>
      </c>
      <c r="S132" s="20" t="s">
        <v>11</v>
      </c>
      <c r="T132" s="20" t="s">
        <v>12</v>
      </c>
      <c r="U132" s="20" t="s">
        <v>13</v>
      </c>
      <c r="V132" s="20" t="s">
        <v>14</v>
      </c>
      <c r="W132" s="20" t="s">
        <v>15</v>
      </c>
      <c r="X132" s="20">
        <v>20580</v>
      </c>
      <c r="Y132" s="20">
        <v>294</v>
      </c>
      <c r="Z132" s="20">
        <v>3.8592000000000001E-2</v>
      </c>
      <c r="AA132" s="20">
        <v>533754</v>
      </c>
      <c r="AB132" s="20">
        <v>3.8557088096763677E-2</v>
      </c>
      <c r="AC132" s="20">
        <v>0.64700000000000002</v>
      </c>
      <c r="AD132" s="20" t="s">
        <v>16</v>
      </c>
      <c r="AE132" s="20" t="s">
        <v>17</v>
      </c>
      <c r="AF132" s="20">
        <v>0</v>
      </c>
      <c r="AG132" s="20" t="s">
        <v>750</v>
      </c>
      <c r="AH132" s="20" t="s">
        <v>505</v>
      </c>
      <c r="AI132" s="20" t="s">
        <v>15</v>
      </c>
      <c r="AJ132" s="20">
        <v>-1</v>
      </c>
      <c r="AK132" s="20" t="s">
        <v>15</v>
      </c>
      <c r="AL132" s="20">
        <v>-1</v>
      </c>
      <c r="AM132" s="20" t="s">
        <v>751</v>
      </c>
      <c r="AN132">
        <v>130</v>
      </c>
    </row>
    <row r="133" spans="1:40" x14ac:dyDescent="0.25">
      <c r="A133" s="20" t="s">
        <v>7</v>
      </c>
      <c r="B133" s="21" t="s">
        <v>8</v>
      </c>
      <c r="C133" s="20" t="s">
        <v>9</v>
      </c>
      <c r="D133" s="21" t="s">
        <v>752</v>
      </c>
      <c r="E133" s="20">
        <v>2018</v>
      </c>
      <c r="F133" s="20">
        <v>4</v>
      </c>
      <c r="G133" s="20" t="s">
        <v>329</v>
      </c>
      <c r="H133" s="20" t="s">
        <v>10</v>
      </c>
      <c r="I133" s="20" t="s">
        <v>376</v>
      </c>
      <c r="J133" s="20">
        <v>4010</v>
      </c>
      <c r="K133" s="20" t="s">
        <v>753</v>
      </c>
      <c r="L133" s="20" t="s">
        <v>753</v>
      </c>
      <c r="M133" s="22">
        <v>0.56111111111111112</v>
      </c>
      <c r="N133" s="22">
        <v>0.71875</v>
      </c>
      <c r="O133" s="20">
        <v>69</v>
      </c>
      <c r="P133" s="20">
        <v>100</v>
      </c>
      <c r="Q133" s="20" t="s">
        <v>754</v>
      </c>
      <c r="R133" s="20">
        <v>100</v>
      </c>
      <c r="S133" s="20" t="s">
        <v>333</v>
      </c>
      <c r="T133" s="20" t="s">
        <v>19</v>
      </c>
      <c r="U133" s="20" t="s">
        <v>13</v>
      </c>
      <c r="V133" s="20" t="s">
        <v>14</v>
      </c>
      <c r="W133" s="20" t="s">
        <v>15</v>
      </c>
      <c r="X133" s="20">
        <v>22700</v>
      </c>
      <c r="Y133" s="20">
        <v>227</v>
      </c>
      <c r="Z133" s="20">
        <v>4.2567000000000001E-2</v>
      </c>
      <c r="AA133" s="20">
        <v>533754</v>
      </c>
      <c r="AB133" s="20">
        <v>4.2528955286517761E-2</v>
      </c>
      <c r="AC133" s="20">
        <v>0.26100000000000001</v>
      </c>
      <c r="AD133" s="20" t="s">
        <v>16</v>
      </c>
      <c r="AE133" s="20" t="s">
        <v>17</v>
      </c>
      <c r="AF133" s="20">
        <v>0</v>
      </c>
      <c r="AG133" s="20" t="s">
        <v>754</v>
      </c>
      <c r="AH133" s="20" t="s">
        <v>339</v>
      </c>
      <c r="AI133" s="20" t="s">
        <v>15</v>
      </c>
      <c r="AJ133" s="20">
        <v>-1</v>
      </c>
      <c r="AK133" s="20" t="s">
        <v>15</v>
      </c>
      <c r="AL133" s="20">
        <v>-1</v>
      </c>
      <c r="AM133" s="20" t="s">
        <v>18</v>
      </c>
      <c r="AN133">
        <v>131</v>
      </c>
    </row>
    <row r="134" spans="1:40" x14ac:dyDescent="0.25">
      <c r="A134" s="20" t="s">
        <v>7</v>
      </c>
      <c r="B134" s="21" t="s">
        <v>8</v>
      </c>
      <c r="C134" s="20" t="s">
        <v>9</v>
      </c>
      <c r="D134" s="21" t="s">
        <v>755</v>
      </c>
      <c r="E134" s="20">
        <v>2018</v>
      </c>
      <c r="F134" s="20">
        <v>4</v>
      </c>
      <c r="G134" s="20" t="s">
        <v>342</v>
      </c>
      <c r="H134" s="20" t="s">
        <v>342</v>
      </c>
      <c r="I134" s="20" t="s">
        <v>361</v>
      </c>
      <c r="J134" s="20">
        <v>4060</v>
      </c>
      <c r="K134" s="20" t="s">
        <v>756</v>
      </c>
      <c r="L134" s="20" t="s">
        <v>756</v>
      </c>
      <c r="M134" s="22">
        <v>0.4145833333333333</v>
      </c>
      <c r="N134" s="22">
        <v>0.47916666666666669</v>
      </c>
      <c r="O134" s="20">
        <v>80</v>
      </c>
      <c r="P134" s="20">
        <v>92</v>
      </c>
      <c r="Q134" s="20" t="s">
        <v>757</v>
      </c>
      <c r="R134" s="20">
        <v>0</v>
      </c>
      <c r="S134" s="20" t="s">
        <v>11</v>
      </c>
      <c r="T134" s="20" t="s">
        <v>12</v>
      </c>
      <c r="U134" s="20" t="s">
        <v>13</v>
      </c>
      <c r="V134" s="20" t="s">
        <v>14</v>
      </c>
      <c r="W134" s="20" t="s">
        <v>15</v>
      </c>
      <c r="X134" s="20">
        <v>8556</v>
      </c>
      <c r="Y134" s="20">
        <v>93</v>
      </c>
      <c r="Z134" s="20">
        <v>1.6043999999999999E-2</v>
      </c>
      <c r="AA134" s="20">
        <v>533754</v>
      </c>
      <c r="AB134" s="20">
        <v>1.6029856450724491E-2</v>
      </c>
      <c r="AC134" s="20">
        <v>0.124</v>
      </c>
      <c r="AD134" s="20" t="s">
        <v>16</v>
      </c>
      <c r="AE134" s="20" t="s">
        <v>17</v>
      </c>
      <c r="AF134" s="20">
        <v>0</v>
      </c>
      <c r="AG134" s="20" t="s">
        <v>757</v>
      </c>
      <c r="AH134" s="20" t="s">
        <v>505</v>
      </c>
      <c r="AI134" s="20" t="s">
        <v>15</v>
      </c>
      <c r="AJ134" s="20">
        <v>-1</v>
      </c>
      <c r="AK134" s="20" t="s">
        <v>15</v>
      </c>
      <c r="AL134" s="20">
        <v>-1</v>
      </c>
      <c r="AM134" s="20" t="s">
        <v>758</v>
      </c>
      <c r="AN134">
        <v>132</v>
      </c>
    </row>
    <row r="135" spans="1:40" x14ac:dyDescent="0.25">
      <c r="A135" s="20" t="s">
        <v>7</v>
      </c>
      <c r="B135" s="21" t="s">
        <v>8</v>
      </c>
      <c r="C135" s="20" t="s">
        <v>9</v>
      </c>
      <c r="D135" s="21" t="s">
        <v>759</v>
      </c>
      <c r="E135" s="20">
        <v>2018</v>
      </c>
      <c r="F135" s="20">
        <v>4</v>
      </c>
      <c r="G135" s="20" t="s">
        <v>329</v>
      </c>
      <c r="H135" s="20" t="s">
        <v>10</v>
      </c>
      <c r="I135" s="20" t="s">
        <v>330</v>
      </c>
      <c r="J135" s="20">
        <v>4030</v>
      </c>
      <c r="K135" s="20" t="s">
        <v>760</v>
      </c>
      <c r="L135" s="20" t="s">
        <v>760</v>
      </c>
      <c r="M135" s="22">
        <v>0.49374999999999997</v>
      </c>
      <c r="N135" s="22">
        <v>0.83750000000000002</v>
      </c>
      <c r="O135" s="20">
        <v>12</v>
      </c>
      <c r="P135" s="20">
        <v>18</v>
      </c>
      <c r="Q135" s="20" t="s">
        <v>761</v>
      </c>
      <c r="R135" s="20">
        <v>100</v>
      </c>
      <c r="S135" s="20" t="s">
        <v>53</v>
      </c>
      <c r="T135" s="20" t="s">
        <v>19</v>
      </c>
      <c r="U135" s="20" t="s">
        <v>13</v>
      </c>
      <c r="V135" s="20" t="s">
        <v>14</v>
      </c>
      <c r="W135" s="20" t="s">
        <v>15</v>
      </c>
      <c r="X135" s="20">
        <v>8910</v>
      </c>
      <c r="Y135" s="20">
        <v>495</v>
      </c>
      <c r="Z135" s="20">
        <v>1.6708000000000001E-2</v>
      </c>
      <c r="AA135" s="20">
        <v>533754</v>
      </c>
      <c r="AB135" s="20">
        <v>1.6693083330523051E-2</v>
      </c>
      <c r="AC135" s="20">
        <v>9.9000000000000005E-2</v>
      </c>
      <c r="AD135" s="20" t="s">
        <v>16</v>
      </c>
      <c r="AE135" s="20" t="s">
        <v>17</v>
      </c>
      <c r="AF135" s="20">
        <v>0</v>
      </c>
      <c r="AG135" s="20" t="s">
        <v>761</v>
      </c>
      <c r="AH135" s="20" t="s">
        <v>22</v>
      </c>
      <c r="AI135" s="20" t="s">
        <v>15</v>
      </c>
      <c r="AJ135" s="20">
        <v>-1</v>
      </c>
      <c r="AK135" s="20" t="s">
        <v>15</v>
      </c>
      <c r="AL135" s="20">
        <v>-1</v>
      </c>
      <c r="AM135" s="20" t="s">
        <v>762</v>
      </c>
      <c r="AN135">
        <v>133</v>
      </c>
    </row>
    <row r="136" spans="1:40" x14ac:dyDescent="0.25">
      <c r="A136" s="20" t="s">
        <v>7</v>
      </c>
      <c r="B136" s="21" t="s">
        <v>8</v>
      </c>
      <c r="C136" s="20" t="s">
        <v>9</v>
      </c>
      <c r="D136" s="21" t="s">
        <v>763</v>
      </c>
      <c r="E136" s="20">
        <v>2018</v>
      </c>
      <c r="F136" s="20">
        <v>4</v>
      </c>
      <c r="G136" s="20" t="s">
        <v>342</v>
      </c>
      <c r="H136" s="20" t="s">
        <v>342</v>
      </c>
      <c r="I136" s="20" t="s">
        <v>366</v>
      </c>
      <c r="J136" s="20">
        <v>4050</v>
      </c>
      <c r="K136" s="20" t="s">
        <v>760</v>
      </c>
      <c r="L136" s="20" t="s">
        <v>760</v>
      </c>
      <c r="M136" s="22">
        <v>0.5444444444444444</v>
      </c>
      <c r="N136" s="22">
        <v>0.59027777777777779</v>
      </c>
      <c r="O136" s="20">
        <v>40</v>
      </c>
      <c r="P136" s="20">
        <v>56</v>
      </c>
      <c r="Q136" s="20" t="s">
        <v>764</v>
      </c>
      <c r="R136" s="20">
        <v>0</v>
      </c>
      <c r="S136" s="20" t="s">
        <v>11</v>
      </c>
      <c r="T136" s="20" t="s">
        <v>56</v>
      </c>
      <c r="U136" s="20" t="s">
        <v>13</v>
      </c>
      <c r="V136" s="20" t="s">
        <v>14</v>
      </c>
      <c r="W136" s="20" t="s">
        <v>15</v>
      </c>
      <c r="X136" s="20">
        <v>3696</v>
      </c>
      <c r="Y136" s="20">
        <v>66</v>
      </c>
      <c r="Z136" s="20">
        <v>6.9309999999999997E-3</v>
      </c>
      <c r="AA136" s="20">
        <v>533754</v>
      </c>
      <c r="AB136" s="20">
        <v>6.9245382704391911E-3</v>
      </c>
      <c r="AC136" s="20">
        <v>4.3999999999999997E-2</v>
      </c>
      <c r="AD136" s="20" t="s">
        <v>16</v>
      </c>
      <c r="AE136" s="20" t="s">
        <v>17</v>
      </c>
      <c r="AF136" s="20">
        <v>0</v>
      </c>
      <c r="AG136" s="20" t="s">
        <v>764</v>
      </c>
      <c r="AH136" s="20" t="s">
        <v>765</v>
      </c>
      <c r="AI136" s="20" t="s">
        <v>15</v>
      </c>
      <c r="AJ136" s="20">
        <v>-1</v>
      </c>
      <c r="AK136" s="20" t="s">
        <v>15</v>
      </c>
      <c r="AL136" s="20">
        <v>-1</v>
      </c>
      <c r="AM136" s="20" t="s">
        <v>18</v>
      </c>
      <c r="AN136">
        <v>134</v>
      </c>
    </row>
    <row r="137" spans="1:40" x14ac:dyDescent="0.25">
      <c r="A137" s="20" t="s">
        <v>7</v>
      </c>
      <c r="B137" s="21" t="s">
        <v>8</v>
      </c>
      <c r="C137" s="20" t="s">
        <v>9</v>
      </c>
      <c r="D137" s="21" t="s">
        <v>766</v>
      </c>
      <c r="E137" s="20">
        <v>2018</v>
      </c>
      <c r="F137" s="20">
        <v>4</v>
      </c>
      <c r="G137" s="20" t="s">
        <v>342</v>
      </c>
      <c r="H137" s="20" t="s">
        <v>342</v>
      </c>
      <c r="I137" s="20" t="s">
        <v>366</v>
      </c>
      <c r="J137" s="20">
        <v>4070</v>
      </c>
      <c r="K137" s="20" t="s">
        <v>767</v>
      </c>
      <c r="L137" s="20" t="s">
        <v>57</v>
      </c>
      <c r="M137" s="22">
        <v>0.90138888888888891</v>
      </c>
      <c r="N137" s="22">
        <v>0.33055555555555555</v>
      </c>
      <c r="O137" s="20">
        <v>59</v>
      </c>
      <c r="P137" s="20">
        <v>99</v>
      </c>
      <c r="Q137" s="20" t="s">
        <v>768</v>
      </c>
      <c r="R137" s="20">
        <v>0</v>
      </c>
      <c r="S137" s="20" t="s">
        <v>11</v>
      </c>
      <c r="T137" s="20" t="s">
        <v>12</v>
      </c>
      <c r="U137" s="20" t="s">
        <v>13</v>
      </c>
      <c r="V137" s="20" t="s">
        <v>14</v>
      </c>
      <c r="W137" s="20" t="s">
        <v>15</v>
      </c>
      <c r="X137" s="20">
        <v>61182</v>
      </c>
      <c r="Y137" s="20">
        <v>618</v>
      </c>
      <c r="Z137" s="20">
        <v>0.114728</v>
      </c>
      <c r="AA137" s="20">
        <v>533754</v>
      </c>
      <c r="AB137" s="20">
        <v>0.11462583886959161</v>
      </c>
      <c r="AC137" s="20">
        <v>0.60799999999999998</v>
      </c>
      <c r="AD137" s="20" t="s">
        <v>16</v>
      </c>
      <c r="AE137" s="20" t="s">
        <v>17</v>
      </c>
      <c r="AF137" s="20">
        <v>0</v>
      </c>
      <c r="AG137" s="20" t="s">
        <v>768</v>
      </c>
      <c r="AH137" s="20" t="s">
        <v>386</v>
      </c>
      <c r="AI137" s="20" t="s">
        <v>15</v>
      </c>
      <c r="AJ137" s="20">
        <v>-1</v>
      </c>
      <c r="AK137" s="20" t="s">
        <v>15</v>
      </c>
      <c r="AL137" s="20">
        <v>-1</v>
      </c>
      <c r="AM137" s="20" t="s">
        <v>769</v>
      </c>
      <c r="AN137">
        <v>135</v>
      </c>
    </row>
    <row r="138" spans="1:40" x14ac:dyDescent="0.25">
      <c r="A138" s="20" t="s">
        <v>7</v>
      </c>
      <c r="B138" s="21" t="s">
        <v>8</v>
      </c>
      <c r="C138" s="20" t="s">
        <v>9</v>
      </c>
      <c r="D138" s="21" t="s">
        <v>246</v>
      </c>
      <c r="E138" s="20">
        <v>2018</v>
      </c>
      <c r="F138" s="20">
        <v>4</v>
      </c>
      <c r="G138" s="20" t="s">
        <v>9</v>
      </c>
      <c r="H138" s="20" t="s">
        <v>10</v>
      </c>
      <c r="I138" s="20" t="s">
        <v>208</v>
      </c>
      <c r="J138" s="20">
        <v>4010</v>
      </c>
      <c r="K138" s="20" t="s">
        <v>57</v>
      </c>
      <c r="L138" s="20" t="s">
        <v>57</v>
      </c>
      <c r="M138" s="22">
        <v>0.42638888888888887</v>
      </c>
      <c r="N138" s="22">
        <v>0.85277777777777775</v>
      </c>
      <c r="O138" s="20">
        <v>32</v>
      </c>
      <c r="P138" s="20">
        <v>18</v>
      </c>
      <c r="Q138" s="20" t="s">
        <v>247</v>
      </c>
      <c r="R138" s="20">
        <v>100</v>
      </c>
      <c r="S138" s="20" t="s">
        <v>11</v>
      </c>
      <c r="T138" s="20" t="s">
        <v>12</v>
      </c>
      <c r="U138" s="20" t="s">
        <v>13</v>
      </c>
      <c r="V138" s="20" t="s">
        <v>14</v>
      </c>
      <c r="W138" s="20" t="s">
        <v>15</v>
      </c>
      <c r="X138" s="20">
        <v>11052</v>
      </c>
      <c r="Y138" s="20">
        <v>614</v>
      </c>
      <c r="Z138" s="20">
        <v>2.0725E-2</v>
      </c>
      <c r="AA138" s="20">
        <v>533754</v>
      </c>
      <c r="AB138" s="20">
        <v>2.0706168009982127E-2</v>
      </c>
      <c r="AC138" s="20">
        <v>0.32800000000000001</v>
      </c>
      <c r="AD138" s="20" t="s">
        <v>16</v>
      </c>
      <c r="AE138" s="20" t="s">
        <v>17</v>
      </c>
      <c r="AF138" s="20">
        <v>0</v>
      </c>
      <c r="AG138" s="20" t="s">
        <v>247</v>
      </c>
      <c r="AH138" s="20" t="s">
        <v>22</v>
      </c>
      <c r="AI138" s="20" t="s">
        <v>15</v>
      </c>
      <c r="AJ138" s="20">
        <v>-1</v>
      </c>
      <c r="AK138" s="20" t="s">
        <v>15</v>
      </c>
      <c r="AL138" s="20">
        <v>-1</v>
      </c>
      <c r="AM138" s="20" t="s">
        <v>248</v>
      </c>
      <c r="AN138">
        <v>136</v>
      </c>
    </row>
    <row r="139" spans="1:40" x14ac:dyDescent="0.25">
      <c r="A139" s="20" t="s">
        <v>7</v>
      </c>
      <c r="B139" s="21" t="s">
        <v>8</v>
      </c>
      <c r="C139" s="20" t="s">
        <v>9</v>
      </c>
      <c r="D139" s="21" t="s">
        <v>770</v>
      </c>
      <c r="E139" s="20">
        <v>2018</v>
      </c>
      <c r="F139" s="20">
        <v>4</v>
      </c>
      <c r="G139" s="20" t="s">
        <v>329</v>
      </c>
      <c r="H139" s="20" t="s">
        <v>10</v>
      </c>
      <c r="I139" s="20" t="s">
        <v>376</v>
      </c>
      <c r="J139" s="20">
        <v>4010</v>
      </c>
      <c r="K139" s="20" t="s">
        <v>57</v>
      </c>
      <c r="L139" s="20" t="s">
        <v>57</v>
      </c>
      <c r="M139" s="22">
        <v>0.59097222222222223</v>
      </c>
      <c r="N139" s="22">
        <v>0.87847222222222221</v>
      </c>
      <c r="O139" s="20">
        <v>115</v>
      </c>
      <c r="P139" s="20">
        <v>167</v>
      </c>
      <c r="Q139" s="20" t="s">
        <v>771</v>
      </c>
      <c r="R139" s="20">
        <v>100</v>
      </c>
      <c r="S139" s="20" t="s">
        <v>11</v>
      </c>
      <c r="T139" s="20" t="s">
        <v>12</v>
      </c>
      <c r="U139" s="20" t="s">
        <v>13</v>
      </c>
      <c r="V139" s="20" t="s">
        <v>14</v>
      </c>
      <c r="W139" s="20" t="s">
        <v>15</v>
      </c>
      <c r="X139" s="20">
        <v>69138</v>
      </c>
      <c r="Y139" s="20">
        <v>414</v>
      </c>
      <c r="Z139" s="20">
        <v>0.12964700000000001</v>
      </c>
      <c r="AA139" s="20">
        <v>533754</v>
      </c>
      <c r="AB139" s="20">
        <v>0.12953158196472533</v>
      </c>
      <c r="AC139" s="20">
        <v>0.79300000000000004</v>
      </c>
      <c r="AD139" s="20" t="s">
        <v>16</v>
      </c>
      <c r="AE139" s="20" t="s">
        <v>17</v>
      </c>
      <c r="AF139" s="20">
        <v>0</v>
      </c>
      <c r="AG139" s="20" t="s">
        <v>771</v>
      </c>
      <c r="AH139" s="20" t="s">
        <v>46</v>
      </c>
      <c r="AI139" s="20" t="s">
        <v>15</v>
      </c>
      <c r="AJ139" s="20">
        <v>-1</v>
      </c>
      <c r="AK139" s="20" t="s">
        <v>15</v>
      </c>
      <c r="AL139" s="20">
        <v>-1</v>
      </c>
      <c r="AM139" s="20" t="s">
        <v>772</v>
      </c>
      <c r="AN139">
        <v>137</v>
      </c>
    </row>
    <row r="140" spans="1:40" x14ac:dyDescent="0.25">
      <c r="A140" s="20" t="s">
        <v>7</v>
      </c>
      <c r="B140" s="21" t="s">
        <v>8</v>
      </c>
      <c r="C140" s="20" t="s">
        <v>9</v>
      </c>
      <c r="D140" s="21" t="s">
        <v>773</v>
      </c>
      <c r="E140" s="20">
        <v>2018</v>
      </c>
      <c r="F140" s="20">
        <v>4</v>
      </c>
      <c r="G140" s="20" t="s">
        <v>329</v>
      </c>
      <c r="H140" s="20" t="s">
        <v>10</v>
      </c>
      <c r="I140" s="20" t="s">
        <v>352</v>
      </c>
      <c r="J140" s="20">
        <v>4030</v>
      </c>
      <c r="K140" s="20" t="s">
        <v>58</v>
      </c>
      <c r="L140" s="20" t="s">
        <v>58</v>
      </c>
      <c r="M140" s="22">
        <v>0.36041666666666666</v>
      </c>
      <c r="N140" s="22">
        <v>0.45833333333333331</v>
      </c>
      <c r="O140" s="20">
        <v>86</v>
      </c>
      <c r="P140" s="20">
        <v>92</v>
      </c>
      <c r="Q140" s="20" t="s">
        <v>617</v>
      </c>
      <c r="R140" s="20">
        <v>100</v>
      </c>
      <c r="S140" s="20" t="s">
        <v>11</v>
      </c>
      <c r="T140" s="20" t="s">
        <v>12</v>
      </c>
      <c r="U140" s="20" t="s">
        <v>13</v>
      </c>
      <c r="V140" s="20" t="s">
        <v>14</v>
      </c>
      <c r="W140" s="20" t="s">
        <v>15</v>
      </c>
      <c r="X140" s="20">
        <v>12972</v>
      </c>
      <c r="Y140" s="20">
        <v>141</v>
      </c>
      <c r="Z140" s="20">
        <v>2.4324999999999999E-2</v>
      </c>
      <c r="AA140" s="20">
        <v>533754</v>
      </c>
      <c r="AB140" s="20">
        <v>2.4303330747872616E-2</v>
      </c>
      <c r="AC140" s="20">
        <v>0.20200000000000001</v>
      </c>
      <c r="AD140" s="20" t="s">
        <v>16</v>
      </c>
      <c r="AE140" s="20" t="s">
        <v>17</v>
      </c>
      <c r="AF140" s="20">
        <v>0</v>
      </c>
      <c r="AG140" s="20" t="s">
        <v>617</v>
      </c>
      <c r="AH140" s="20" t="s">
        <v>561</v>
      </c>
      <c r="AI140" s="20" t="s">
        <v>15</v>
      </c>
      <c r="AJ140" s="20">
        <v>-1</v>
      </c>
      <c r="AK140" s="20" t="s">
        <v>15</v>
      </c>
      <c r="AL140" s="20">
        <v>-1</v>
      </c>
      <c r="AM140" s="20" t="s">
        <v>774</v>
      </c>
      <c r="AN140">
        <v>138</v>
      </c>
    </row>
    <row r="141" spans="1:40" x14ac:dyDescent="0.25">
      <c r="A141" s="20" t="s">
        <v>7</v>
      </c>
      <c r="B141" s="21" t="s">
        <v>8</v>
      </c>
      <c r="C141" s="20" t="s">
        <v>9</v>
      </c>
      <c r="D141" s="21" t="s">
        <v>775</v>
      </c>
      <c r="E141" s="20">
        <v>2018</v>
      </c>
      <c r="F141" s="20">
        <v>4</v>
      </c>
      <c r="G141" s="20" t="s">
        <v>342</v>
      </c>
      <c r="H141" s="20" t="s">
        <v>342</v>
      </c>
      <c r="I141" s="20" t="s">
        <v>343</v>
      </c>
      <c r="J141" s="20">
        <v>4070</v>
      </c>
      <c r="K141" s="20" t="s">
        <v>58</v>
      </c>
      <c r="L141" s="20" t="s">
        <v>58</v>
      </c>
      <c r="M141" s="22">
        <v>0.67361111111111116</v>
      </c>
      <c r="N141" s="22">
        <v>0.76597222222222217</v>
      </c>
      <c r="O141" s="20">
        <v>70</v>
      </c>
      <c r="P141" s="20">
        <v>86</v>
      </c>
      <c r="Q141" s="20" t="s">
        <v>776</v>
      </c>
      <c r="R141" s="20">
        <v>0</v>
      </c>
      <c r="S141" s="20" t="s">
        <v>11</v>
      </c>
      <c r="T141" s="20" t="s">
        <v>19</v>
      </c>
      <c r="U141" s="20" t="s">
        <v>13</v>
      </c>
      <c r="V141" s="20" t="s">
        <v>14</v>
      </c>
      <c r="W141" s="20" t="s">
        <v>15</v>
      </c>
      <c r="X141" s="20">
        <v>11438</v>
      </c>
      <c r="Y141" s="20">
        <v>133</v>
      </c>
      <c r="Z141" s="20">
        <v>2.1448999999999999E-2</v>
      </c>
      <c r="AA141" s="20">
        <v>533754</v>
      </c>
      <c r="AB141" s="20">
        <v>2.142934760207886E-2</v>
      </c>
      <c r="AC141" s="20">
        <v>0.155</v>
      </c>
      <c r="AD141" s="20" t="s">
        <v>16</v>
      </c>
      <c r="AE141" s="20" t="s">
        <v>17</v>
      </c>
      <c r="AF141" s="20">
        <v>0</v>
      </c>
      <c r="AG141" s="20" t="s">
        <v>776</v>
      </c>
      <c r="AH141" s="20" t="s">
        <v>45</v>
      </c>
      <c r="AI141" s="20" t="s">
        <v>15</v>
      </c>
      <c r="AJ141" s="20">
        <v>-1</v>
      </c>
      <c r="AK141" s="20" t="s">
        <v>15</v>
      </c>
      <c r="AL141" s="20">
        <v>-1</v>
      </c>
      <c r="AM141" s="20" t="s">
        <v>777</v>
      </c>
      <c r="AN141">
        <v>139</v>
      </c>
    </row>
    <row r="142" spans="1:40" x14ac:dyDescent="0.25">
      <c r="A142" s="20" t="s">
        <v>7</v>
      </c>
      <c r="B142" s="21" t="s">
        <v>8</v>
      </c>
      <c r="C142" s="20" t="s">
        <v>9</v>
      </c>
      <c r="D142" s="21" t="s">
        <v>778</v>
      </c>
      <c r="E142" s="20">
        <v>2018</v>
      </c>
      <c r="F142" s="20">
        <v>4</v>
      </c>
      <c r="G142" s="20" t="s">
        <v>342</v>
      </c>
      <c r="H142" s="20" t="s">
        <v>342</v>
      </c>
      <c r="I142" s="20" t="s">
        <v>343</v>
      </c>
      <c r="J142" s="20">
        <v>4080</v>
      </c>
      <c r="K142" s="20" t="s">
        <v>58</v>
      </c>
      <c r="L142" s="20" t="s">
        <v>58</v>
      </c>
      <c r="M142" s="22">
        <v>0.4236111111111111</v>
      </c>
      <c r="N142" s="22">
        <v>0.53125</v>
      </c>
      <c r="O142" s="20">
        <v>60</v>
      </c>
      <c r="P142" s="20">
        <v>33</v>
      </c>
      <c r="Q142" s="20" t="s">
        <v>779</v>
      </c>
      <c r="R142" s="20">
        <v>0</v>
      </c>
      <c r="S142" s="20" t="s">
        <v>11</v>
      </c>
      <c r="T142" s="20" t="s">
        <v>19</v>
      </c>
      <c r="U142" s="20" t="s">
        <v>13</v>
      </c>
      <c r="V142" s="20" t="s">
        <v>14</v>
      </c>
      <c r="W142" s="20" t="s">
        <v>15</v>
      </c>
      <c r="X142" s="20">
        <v>5115</v>
      </c>
      <c r="Y142" s="20">
        <v>155</v>
      </c>
      <c r="Z142" s="20">
        <v>9.5919999999999998E-3</v>
      </c>
      <c r="AA142" s="20">
        <v>533754</v>
      </c>
      <c r="AB142" s="20">
        <v>9.5830663564113808E-3</v>
      </c>
      <c r="AC142" s="20">
        <v>0.155</v>
      </c>
      <c r="AD142" s="20" t="s">
        <v>16</v>
      </c>
      <c r="AE142" s="20" t="s">
        <v>17</v>
      </c>
      <c r="AF142" s="20">
        <v>0</v>
      </c>
      <c r="AG142" s="20" t="s">
        <v>779</v>
      </c>
      <c r="AH142" s="20" t="s">
        <v>386</v>
      </c>
      <c r="AI142" s="20" t="s">
        <v>15</v>
      </c>
      <c r="AJ142" s="20">
        <v>-1</v>
      </c>
      <c r="AK142" s="20" t="s">
        <v>15</v>
      </c>
      <c r="AL142" s="20">
        <v>-1</v>
      </c>
      <c r="AM142" s="20" t="s">
        <v>780</v>
      </c>
      <c r="AN142">
        <v>140</v>
      </c>
    </row>
    <row r="143" spans="1:40" x14ac:dyDescent="0.25">
      <c r="A143" s="20" t="s">
        <v>7</v>
      </c>
      <c r="B143" s="21" t="s">
        <v>8</v>
      </c>
      <c r="C143" s="20" t="s">
        <v>9</v>
      </c>
      <c r="D143" s="21" t="s">
        <v>249</v>
      </c>
      <c r="E143" s="20">
        <v>2018</v>
      </c>
      <c r="F143" s="20">
        <v>4</v>
      </c>
      <c r="G143" s="20" t="s">
        <v>9</v>
      </c>
      <c r="H143" s="20" t="s">
        <v>10</v>
      </c>
      <c r="I143" s="20" t="s">
        <v>214</v>
      </c>
      <c r="J143" s="20">
        <v>4050</v>
      </c>
      <c r="K143" s="20" t="s">
        <v>58</v>
      </c>
      <c r="L143" s="20" t="s">
        <v>58</v>
      </c>
      <c r="M143" s="22">
        <v>0.27083333333333331</v>
      </c>
      <c r="N143" s="22">
        <v>0.55555555555555558</v>
      </c>
      <c r="O143" s="20">
        <v>42</v>
      </c>
      <c r="P143" s="20">
        <v>80</v>
      </c>
      <c r="Q143" s="20" t="s">
        <v>250</v>
      </c>
      <c r="R143" s="20">
        <v>100</v>
      </c>
      <c r="S143" s="20" t="s">
        <v>11</v>
      </c>
      <c r="T143" s="20" t="s">
        <v>56</v>
      </c>
      <c r="U143" s="20" t="s">
        <v>13</v>
      </c>
      <c r="V143" s="20" t="s">
        <v>14</v>
      </c>
      <c r="W143" s="20" t="s">
        <v>15</v>
      </c>
      <c r="X143" s="20">
        <v>32800</v>
      </c>
      <c r="Y143" s="20">
        <v>410</v>
      </c>
      <c r="Z143" s="20">
        <v>6.1505999999999998E-2</v>
      </c>
      <c r="AA143" s="20">
        <v>533754</v>
      </c>
      <c r="AB143" s="20">
        <v>6.1451530105629183E-2</v>
      </c>
      <c r="AC143" s="20">
        <v>0.28699999999999998</v>
      </c>
      <c r="AD143" s="20" t="s">
        <v>16</v>
      </c>
      <c r="AE143" s="20" t="s">
        <v>17</v>
      </c>
      <c r="AF143" s="20">
        <v>0</v>
      </c>
      <c r="AG143" s="20" t="s">
        <v>250</v>
      </c>
      <c r="AH143" s="20" t="s">
        <v>211</v>
      </c>
      <c r="AI143" s="20" t="s">
        <v>15</v>
      </c>
      <c r="AJ143" s="20">
        <v>-1</v>
      </c>
      <c r="AK143" s="20" t="s">
        <v>15</v>
      </c>
      <c r="AL143" s="20">
        <v>-1</v>
      </c>
      <c r="AM143" s="20" t="s">
        <v>251</v>
      </c>
      <c r="AN143">
        <v>141</v>
      </c>
    </row>
    <row r="144" spans="1:40" x14ac:dyDescent="0.25">
      <c r="A144" s="20" t="s">
        <v>7</v>
      </c>
      <c r="B144" s="21" t="s">
        <v>8</v>
      </c>
      <c r="C144" s="20" t="s">
        <v>9</v>
      </c>
      <c r="D144" s="21" t="s">
        <v>781</v>
      </c>
      <c r="E144" s="20">
        <v>2018</v>
      </c>
      <c r="F144" s="20">
        <v>4</v>
      </c>
      <c r="G144" s="20" t="s">
        <v>342</v>
      </c>
      <c r="H144" s="20" t="s">
        <v>342</v>
      </c>
      <c r="I144" s="20" t="s">
        <v>343</v>
      </c>
      <c r="J144" s="20">
        <v>4060</v>
      </c>
      <c r="K144" s="20" t="s">
        <v>782</v>
      </c>
      <c r="L144" s="20" t="s">
        <v>782</v>
      </c>
      <c r="M144" s="22">
        <v>0.45277777777777778</v>
      </c>
      <c r="N144" s="22">
        <v>0.50416666666666665</v>
      </c>
      <c r="O144" s="20">
        <v>59</v>
      </c>
      <c r="P144" s="20">
        <v>73</v>
      </c>
      <c r="Q144" s="20" t="s">
        <v>783</v>
      </c>
      <c r="R144" s="20">
        <v>0</v>
      </c>
      <c r="S144" s="20" t="s">
        <v>11</v>
      </c>
      <c r="T144" s="20" t="s">
        <v>56</v>
      </c>
      <c r="U144" s="20" t="s">
        <v>13</v>
      </c>
      <c r="V144" s="20" t="s">
        <v>14</v>
      </c>
      <c r="W144" s="20" t="s">
        <v>15</v>
      </c>
      <c r="X144" s="20">
        <v>5402</v>
      </c>
      <c r="Y144" s="20">
        <v>74</v>
      </c>
      <c r="Z144" s="20">
        <v>1.013E-2</v>
      </c>
      <c r="AA144" s="20">
        <v>533754</v>
      </c>
      <c r="AB144" s="20">
        <v>1.0120767244835635E-2</v>
      </c>
      <c r="AC144" s="20">
        <v>7.2999999999999995E-2</v>
      </c>
      <c r="AD144" s="20" t="s">
        <v>16</v>
      </c>
      <c r="AE144" s="20" t="s">
        <v>17</v>
      </c>
      <c r="AF144" s="20">
        <v>0</v>
      </c>
      <c r="AG144" s="20" t="s">
        <v>783</v>
      </c>
      <c r="AH144" s="20" t="s">
        <v>479</v>
      </c>
      <c r="AI144" s="20" t="s">
        <v>15</v>
      </c>
      <c r="AJ144" s="20">
        <v>-1</v>
      </c>
      <c r="AK144" s="20" t="s">
        <v>15</v>
      </c>
      <c r="AL144" s="20">
        <v>-1</v>
      </c>
      <c r="AM144" s="20" t="s">
        <v>784</v>
      </c>
      <c r="AN144">
        <v>142</v>
      </c>
    </row>
    <row r="145" spans="1:40" x14ac:dyDescent="0.25">
      <c r="A145" s="20" t="s">
        <v>7</v>
      </c>
      <c r="B145" s="21" t="s">
        <v>8</v>
      </c>
      <c r="C145" s="20" t="s">
        <v>9</v>
      </c>
      <c r="D145" s="21" t="s">
        <v>785</v>
      </c>
      <c r="E145" s="20">
        <v>2018</v>
      </c>
      <c r="F145" s="20">
        <v>4</v>
      </c>
      <c r="G145" s="20" t="s">
        <v>329</v>
      </c>
      <c r="H145" s="20" t="s">
        <v>10</v>
      </c>
      <c r="I145" s="20" t="s">
        <v>352</v>
      </c>
      <c r="J145" s="20">
        <v>4020</v>
      </c>
      <c r="K145" s="20" t="s">
        <v>786</v>
      </c>
      <c r="L145" s="20" t="s">
        <v>786</v>
      </c>
      <c r="M145" s="22">
        <v>0.58263888888888882</v>
      </c>
      <c r="N145" s="22">
        <v>0.68055555555555547</v>
      </c>
      <c r="O145" s="20">
        <v>79</v>
      </c>
      <c r="P145" s="20">
        <v>36</v>
      </c>
      <c r="Q145" s="20" t="s">
        <v>678</v>
      </c>
      <c r="R145" s="20">
        <v>100</v>
      </c>
      <c r="S145" s="20" t="s">
        <v>48</v>
      </c>
      <c r="T145" s="20" t="s">
        <v>51</v>
      </c>
      <c r="U145" s="20" t="s">
        <v>13</v>
      </c>
      <c r="V145" s="20" t="s">
        <v>14</v>
      </c>
      <c r="W145" s="20" t="s">
        <v>15</v>
      </c>
      <c r="X145" s="20">
        <v>5076</v>
      </c>
      <c r="Y145" s="20">
        <v>141</v>
      </c>
      <c r="Z145" s="20">
        <v>9.5189999999999997E-3</v>
      </c>
      <c r="AA145" s="20">
        <v>533754</v>
      </c>
      <c r="AB145" s="20">
        <v>9.5099989882979803E-3</v>
      </c>
      <c r="AC145" s="20">
        <v>0.186</v>
      </c>
      <c r="AD145" s="20" t="s">
        <v>16</v>
      </c>
      <c r="AE145" s="20" t="s">
        <v>17</v>
      </c>
      <c r="AF145" s="20">
        <v>0</v>
      </c>
      <c r="AG145" s="20" t="s">
        <v>678</v>
      </c>
      <c r="AH145" s="20" t="s">
        <v>339</v>
      </c>
      <c r="AI145" s="20" t="s">
        <v>15</v>
      </c>
      <c r="AJ145" s="20">
        <v>-1</v>
      </c>
      <c r="AK145" s="20" t="s">
        <v>15</v>
      </c>
      <c r="AL145" s="20">
        <v>-1</v>
      </c>
      <c r="AM145" s="20" t="s">
        <v>18</v>
      </c>
      <c r="AN145">
        <v>143</v>
      </c>
    </row>
    <row r="146" spans="1:40" x14ac:dyDescent="0.25">
      <c r="A146" s="20" t="s">
        <v>7</v>
      </c>
      <c r="B146" s="21" t="s">
        <v>8</v>
      </c>
      <c r="C146" s="20" t="s">
        <v>9</v>
      </c>
      <c r="D146" s="21" t="s">
        <v>787</v>
      </c>
      <c r="E146" s="20">
        <v>2018</v>
      </c>
      <c r="F146" s="20">
        <v>4</v>
      </c>
      <c r="G146" s="20" t="s">
        <v>323</v>
      </c>
      <c r="H146" s="20" t="s">
        <v>10</v>
      </c>
      <c r="I146" s="20" t="s">
        <v>324</v>
      </c>
      <c r="J146" s="20">
        <v>4030</v>
      </c>
      <c r="K146" s="20" t="s">
        <v>788</v>
      </c>
      <c r="L146" s="20" t="s">
        <v>788</v>
      </c>
      <c r="M146" s="22">
        <v>0.45277777777777778</v>
      </c>
      <c r="N146" s="22">
        <v>0.69374999999999998</v>
      </c>
      <c r="O146" s="20">
        <v>121</v>
      </c>
      <c r="P146" s="20">
        <v>135</v>
      </c>
      <c r="Q146" s="20" t="s">
        <v>789</v>
      </c>
      <c r="R146" s="20">
        <v>100</v>
      </c>
      <c r="S146" s="20" t="s">
        <v>11</v>
      </c>
      <c r="T146" s="20" t="s">
        <v>19</v>
      </c>
      <c r="U146" s="20" t="s">
        <v>13</v>
      </c>
      <c r="V146" s="20" t="s">
        <v>14</v>
      </c>
      <c r="W146" s="20" t="s">
        <v>15</v>
      </c>
      <c r="X146" s="20">
        <v>46845</v>
      </c>
      <c r="Y146" s="20">
        <v>347</v>
      </c>
      <c r="Z146" s="20">
        <v>8.7844000000000005E-2</v>
      </c>
      <c r="AA146" s="20">
        <v>533754</v>
      </c>
      <c r="AB146" s="20">
        <v>8.7765150237749973E-2</v>
      </c>
      <c r="AC146" s="20">
        <v>0.7</v>
      </c>
      <c r="AD146" s="20" t="s">
        <v>16</v>
      </c>
      <c r="AE146" s="20" t="s">
        <v>17</v>
      </c>
      <c r="AF146" s="20">
        <v>0</v>
      </c>
      <c r="AG146" s="20" t="s">
        <v>789</v>
      </c>
      <c r="AH146" s="20" t="s">
        <v>790</v>
      </c>
      <c r="AI146" s="20" t="s">
        <v>15</v>
      </c>
      <c r="AJ146" s="20">
        <v>-1</v>
      </c>
      <c r="AK146" s="20" t="s">
        <v>15</v>
      </c>
      <c r="AL146" s="20">
        <v>-1</v>
      </c>
      <c r="AM146" s="20" t="s">
        <v>18</v>
      </c>
      <c r="AN146">
        <v>144</v>
      </c>
    </row>
    <row r="147" spans="1:40" x14ac:dyDescent="0.25">
      <c r="A147" s="20" t="s">
        <v>7</v>
      </c>
      <c r="B147" s="21" t="s">
        <v>8</v>
      </c>
      <c r="C147" s="20" t="s">
        <v>9</v>
      </c>
      <c r="D147" s="21" t="s">
        <v>791</v>
      </c>
      <c r="E147" s="20">
        <v>2018</v>
      </c>
      <c r="F147" s="20">
        <v>4</v>
      </c>
      <c r="G147" s="20" t="s">
        <v>342</v>
      </c>
      <c r="H147" s="20" t="s">
        <v>342</v>
      </c>
      <c r="I147" s="20" t="s">
        <v>361</v>
      </c>
      <c r="J147" s="20">
        <v>4030</v>
      </c>
      <c r="K147" s="20" t="s">
        <v>788</v>
      </c>
      <c r="L147" s="20" t="s">
        <v>788</v>
      </c>
      <c r="M147" s="22">
        <v>0.34513888888888888</v>
      </c>
      <c r="N147" s="22">
        <v>0.41875000000000001</v>
      </c>
      <c r="O147" s="20">
        <v>65</v>
      </c>
      <c r="P147" s="20">
        <v>145</v>
      </c>
      <c r="Q147" s="20" t="s">
        <v>792</v>
      </c>
      <c r="R147" s="20">
        <v>0</v>
      </c>
      <c r="S147" s="20" t="s">
        <v>11</v>
      </c>
      <c r="T147" s="20" t="s">
        <v>12</v>
      </c>
      <c r="U147" s="20" t="s">
        <v>13</v>
      </c>
      <c r="V147" s="20" t="s">
        <v>14</v>
      </c>
      <c r="W147" s="20" t="s">
        <v>15</v>
      </c>
      <c r="X147" s="20">
        <v>15370</v>
      </c>
      <c r="Y147" s="20">
        <v>106</v>
      </c>
      <c r="Z147" s="20">
        <v>2.8822E-2</v>
      </c>
      <c r="AA147" s="20">
        <v>533754</v>
      </c>
      <c r="AB147" s="20">
        <v>2.879603712571709E-2</v>
      </c>
      <c r="AC147" s="20">
        <v>0.115</v>
      </c>
      <c r="AD147" s="20" t="s">
        <v>16</v>
      </c>
      <c r="AE147" s="20" t="s">
        <v>17</v>
      </c>
      <c r="AF147" s="20">
        <v>0</v>
      </c>
      <c r="AG147" s="20" t="s">
        <v>792</v>
      </c>
      <c r="AH147" s="20" t="s">
        <v>386</v>
      </c>
      <c r="AI147" s="20" t="s">
        <v>15</v>
      </c>
      <c r="AJ147" s="20">
        <v>-1</v>
      </c>
      <c r="AK147" s="20" t="s">
        <v>15</v>
      </c>
      <c r="AL147" s="20">
        <v>-1</v>
      </c>
      <c r="AM147" s="20" t="s">
        <v>793</v>
      </c>
      <c r="AN147">
        <v>145</v>
      </c>
    </row>
    <row r="148" spans="1:40" x14ac:dyDescent="0.25">
      <c r="A148" s="20" t="s">
        <v>7</v>
      </c>
      <c r="B148" s="21" t="s">
        <v>8</v>
      </c>
      <c r="C148" s="20" t="s">
        <v>9</v>
      </c>
      <c r="D148" s="21" t="s">
        <v>794</v>
      </c>
      <c r="E148" s="20">
        <v>2018</v>
      </c>
      <c r="F148" s="20">
        <v>4</v>
      </c>
      <c r="G148" s="20" t="s">
        <v>323</v>
      </c>
      <c r="H148" s="20" t="s">
        <v>10</v>
      </c>
      <c r="I148" s="20" t="s">
        <v>324</v>
      </c>
      <c r="J148" s="20">
        <v>4020</v>
      </c>
      <c r="K148" s="20" t="s">
        <v>788</v>
      </c>
      <c r="L148" s="20" t="s">
        <v>788</v>
      </c>
      <c r="M148" s="22">
        <v>0.72291666666666676</v>
      </c>
      <c r="N148" s="22">
        <v>0.75069444444444444</v>
      </c>
      <c r="O148" s="20">
        <v>16</v>
      </c>
      <c r="P148" s="20">
        <v>64</v>
      </c>
      <c r="Q148" s="20" t="s">
        <v>795</v>
      </c>
      <c r="R148" s="20">
        <v>100</v>
      </c>
      <c r="S148" s="20" t="s">
        <v>11</v>
      </c>
      <c r="T148" s="20" t="s">
        <v>12</v>
      </c>
      <c r="U148" s="20" t="s">
        <v>13</v>
      </c>
      <c r="V148" s="20" t="s">
        <v>14</v>
      </c>
      <c r="W148" s="20" t="s">
        <v>15</v>
      </c>
      <c r="X148" s="20">
        <v>2560</v>
      </c>
      <c r="Y148" s="20">
        <v>40</v>
      </c>
      <c r="Z148" s="20">
        <v>4.8009999999999997E-3</v>
      </c>
      <c r="AA148" s="20">
        <v>533754</v>
      </c>
      <c r="AB148" s="20">
        <v>4.7962169838539851E-3</v>
      </c>
      <c r="AC148" s="20">
        <v>1.0999999999999999E-2</v>
      </c>
      <c r="AD148" s="20" t="s">
        <v>16</v>
      </c>
      <c r="AE148" s="20" t="s">
        <v>17</v>
      </c>
      <c r="AF148" s="20">
        <v>0</v>
      </c>
      <c r="AG148" s="20" t="s">
        <v>795</v>
      </c>
      <c r="AH148" s="20" t="s">
        <v>589</v>
      </c>
      <c r="AI148" s="20" t="s">
        <v>15</v>
      </c>
      <c r="AJ148" s="20">
        <v>-1</v>
      </c>
      <c r="AK148" s="20" t="s">
        <v>15</v>
      </c>
      <c r="AL148" s="20">
        <v>-1</v>
      </c>
      <c r="AM148" s="20" t="s">
        <v>18</v>
      </c>
      <c r="AN148">
        <v>146</v>
      </c>
    </row>
    <row r="149" spans="1:40" x14ac:dyDescent="0.25">
      <c r="A149" s="20" t="s">
        <v>7</v>
      </c>
      <c r="B149" s="21" t="s">
        <v>8</v>
      </c>
      <c r="C149" s="20" t="s">
        <v>9</v>
      </c>
      <c r="D149" s="21" t="s">
        <v>796</v>
      </c>
      <c r="E149" s="20">
        <v>2018</v>
      </c>
      <c r="F149" s="20">
        <v>5</v>
      </c>
      <c r="G149" s="20" t="s">
        <v>329</v>
      </c>
      <c r="H149" s="20" t="s">
        <v>10</v>
      </c>
      <c r="I149" s="20" t="s">
        <v>366</v>
      </c>
      <c r="J149" s="20">
        <v>4090</v>
      </c>
      <c r="K149" s="20" t="s">
        <v>797</v>
      </c>
      <c r="L149" s="20" t="s">
        <v>59</v>
      </c>
      <c r="M149" s="22">
        <v>0.84444444444444444</v>
      </c>
      <c r="N149" s="22">
        <v>0.42291666666666666</v>
      </c>
      <c r="O149" s="20">
        <v>90</v>
      </c>
      <c r="P149" s="20">
        <v>120</v>
      </c>
      <c r="Q149" s="20" t="s">
        <v>798</v>
      </c>
      <c r="R149" s="20">
        <v>100</v>
      </c>
      <c r="S149" s="20" t="s">
        <v>11</v>
      </c>
      <c r="T149" s="20" t="s">
        <v>12</v>
      </c>
      <c r="U149" s="20" t="s">
        <v>13</v>
      </c>
      <c r="V149" s="20" t="s">
        <v>14</v>
      </c>
      <c r="W149" s="20" t="s">
        <v>15</v>
      </c>
      <c r="X149" s="20">
        <v>99960</v>
      </c>
      <c r="Y149" s="20">
        <v>833</v>
      </c>
      <c r="Z149" s="20">
        <v>0.187277</v>
      </c>
      <c r="AA149" s="20">
        <v>533754</v>
      </c>
      <c r="AB149" s="20">
        <v>0.18727728504142357</v>
      </c>
      <c r="AC149" s="20">
        <v>1.25</v>
      </c>
      <c r="AD149" s="20" t="s">
        <v>16</v>
      </c>
      <c r="AE149" s="20" t="s">
        <v>17</v>
      </c>
      <c r="AF149" s="20">
        <v>0</v>
      </c>
      <c r="AG149" s="20" t="s">
        <v>798</v>
      </c>
      <c r="AH149" s="20" t="s">
        <v>458</v>
      </c>
      <c r="AI149" s="20" t="s">
        <v>15</v>
      </c>
      <c r="AJ149" s="20">
        <v>-1</v>
      </c>
      <c r="AK149" s="20" t="s">
        <v>15</v>
      </c>
      <c r="AL149" s="20">
        <v>-1</v>
      </c>
      <c r="AM149" s="20" t="s">
        <v>18</v>
      </c>
      <c r="AN149">
        <v>147</v>
      </c>
    </row>
    <row r="150" spans="1:40" x14ac:dyDescent="0.25">
      <c r="A150" s="20" t="s">
        <v>7</v>
      </c>
      <c r="B150" s="21" t="s">
        <v>8</v>
      </c>
      <c r="C150" s="20" t="s">
        <v>9</v>
      </c>
      <c r="D150" s="21" t="s">
        <v>799</v>
      </c>
      <c r="E150" s="20">
        <v>2018</v>
      </c>
      <c r="F150" s="20">
        <v>5</v>
      </c>
      <c r="G150" s="20" t="s">
        <v>342</v>
      </c>
      <c r="H150" s="20" t="s">
        <v>342</v>
      </c>
      <c r="I150" s="20" t="s">
        <v>343</v>
      </c>
      <c r="J150" s="20">
        <v>4010</v>
      </c>
      <c r="K150" s="20" t="s">
        <v>797</v>
      </c>
      <c r="L150" s="20" t="s">
        <v>59</v>
      </c>
      <c r="M150" s="22">
        <v>0.86458333333333337</v>
      </c>
      <c r="N150" s="22">
        <v>5.9722222222222225E-2</v>
      </c>
      <c r="O150" s="20">
        <v>50</v>
      </c>
      <c r="P150" s="20">
        <v>72</v>
      </c>
      <c r="Q150" s="20" t="s">
        <v>462</v>
      </c>
      <c r="R150" s="20">
        <v>0</v>
      </c>
      <c r="S150" s="20" t="s">
        <v>11</v>
      </c>
      <c r="T150" s="20" t="s">
        <v>12</v>
      </c>
      <c r="U150" s="20" t="s">
        <v>13</v>
      </c>
      <c r="V150" s="20" t="s">
        <v>14</v>
      </c>
      <c r="W150" s="20" t="s">
        <v>15</v>
      </c>
      <c r="X150" s="20">
        <v>20232</v>
      </c>
      <c r="Y150" s="20">
        <v>281</v>
      </c>
      <c r="Z150" s="20">
        <v>3.7905000000000001E-2</v>
      </c>
      <c r="AA150" s="20">
        <v>533754</v>
      </c>
      <c r="AB150" s="20">
        <v>3.7905102350521025E-2</v>
      </c>
      <c r="AC150" s="20">
        <v>0.23400000000000001</v>
      </c>
      <c r="AD150" s="20" t="s">
        <v>16</v>
      </c>
      <c r="AE150" s="20" t="s">
        <v>17</v>
      </c>
      <c r="AF150" s="20">
        <v>0</v>
      </c>
      <c r="AG150" s="20" t="s">
        <v>462</v>
      </c>
      <c r="AH150" s="20" t="s">
        <v>217</v>
      </c>
      <c r="AI150" s="20" t="s">
        <v>15</v>
      </c>
      <c r="AJ150" s="20">
        <v>-1</v>
      </c>
      <c r="AK150" s="20" t="s">
        <v>15</v>
      </c>
      <c r="AL150" s="20">
        <v>-1</v>
      </c>
      <c r="AM150" s="20" t="s">
        <v>800</v>
      </c>
      <c r="AN150">
        <v>148</v>
      </c>
    </row>
    <row r="151" spans="1:40" x14ac:dyDescent="0.25">
      <c r="A151" s="20" t="s">
        <v>7</v>
      </c>
      <c r="B151" s="21" t="s">
        <v>8</v>
      </c>
      <c r="C151" s="20" t="s">
        <v>9</v>
      </c>
      <c r="D151" s="21" t="s">
        <v>801</v>
      </c>
      <c r="E151" s="20">
        <v>2018</v>
      </c>
      <c r="F151" s="20">
        <v>5</v>
      </c>
      <c r="G151" s="20" t="s">
        <v>342</v>
      </c>
      <c r="H151" s="20" t="s">
        <v>342</v>
      </c>
      <c r="I151" s="20" t="s">
        <v>366</v>
      </c>
      <c r="J151" s="20">
        <v>4050</v>
      </c>
      <c r="K151" s="20" t="s">
        <v>797</v>
      </c>
      <c r="L151" s="20" t="s">
        <v>797</v>
      </c>
      <c r="M151" s="22">
        <v>0.72569444444444453</v>
      </c>
      <c r="N151" s="22">
        <v>0.91736111111111107</v>
      </c>
      <c r="O151" s="20">
        <v>90</v>
      </c>
      <c r="P151" s="20">
        <v>99</v>
      </c>
      <c r="Q151" s="20" t="s">
        <v>802</v>
      </c>
      <c r="R151" s="20">
        <v>0</v>
      </c>
      <c r="S151" s="20" t="s">
        <v>11</v>
      </c>
      <c r="T151" s="20" t="s">
        <v>19</v>
      </c>
      <c r="U151" s="20" t="s">
        <v>13</v>
      </c>
      <c r="V151" s="20" t="s">
        <v>14</v>
      </c>
      <c r="W151" s="20" t="s">
        <v>15</v>
      </c>
      <c r="X151" s="20">
        <v>27324</v>
      </c>
      <c r="Y151" s="20">
        <v>276</v>
      </c>
      <c r="Z151" s="20">
        <v>5.1192000000000001E-2</v>
      </c>
      <c r="AA151" s="20">
        <v>533754</v>
      </c>
      <c r="AB151" s="20">
        <v>5.1192122213604023E-2</v>
      </c>
      <c r="AC151" s="20">
        <v>0.41399999999999998</v>
      </c>
      <c r="AD151" s="20" t="s">
        <v>16</v>
      </c>
      <c r="AE151" s="20" t="s">
        <v>17</v>
      </c>
      <c r="AF151" s="20">
        <v>0</v>
      </c>
      <c r="AG151" s="20" t="s">
        <v>802</v>
      </c>
      <c r="AH151" s="20" t="s">
        <v>803</v>
      </c>
      <c r="AI151" s="20" t="s">
        <v>15</v>
      </c>
      <c r="AJ151" s="20">
        <v>-1</v>
      </c>
      <c r="AK151" s="20" t="s">
        <v>15</v>
      </c>
      <c r="AL151" s="20">
        <v>-1</v>
      </c>
      <c r="AM151" s="20" t="s">
        <v>18</v>
      </c>
      <c r="AN151">
        <v>149</v>
      </c>
    </row>
    <row r="152" spans="1:40" x14ac:dyDescent="0.25">
      <c r="A152" s="20" t="s">
        <v>7</v>
      </c>
      <c r="B152" s="21" t="s">
        <v>8</v>
      </c>
      <c r="C152" s="20" t="s">
        <v>9</v>
      </c>
      <c r="D152" s="21" t="s">
        <v>804</v>
      </c>
      <c r="E152" s="20">
        <v>2018</v>
      </c>
      <c r="F152" s="20">
        <v>5</v>
      </c>
      <c r="G152" s="20" t="s">
        <v>329</v>
      </c>
      <c r="H152" s="20" t="s">
        <v>10</v>
      </c>
      <c r="I152" s="20" t="s">
        <v>352</v>
      </c>
      <c r="J152" s="20">
        <v>4030</v>
      </c>
      <c r="K152" s="20" t="s">
        <v>59</v>
      </c>
      <c r="L152" s="20" t="s">
        <v>59</v>
      </c>
      <c r="M152" s="22">
        <v>0.82638888888888884</v>
      </c>
      <c r="N152" s="22">
        <v>0.91666666666666663</v>
      </c>
      <c r="O152" s="20">
        <v>54</v>
      </c>
      <c r="P152" s="20">
        <v>88</v>
      </c>
      <c r="Q152" s="20" t="s">
        <v>805</v>
      </c>
      <c r="R152" s="20">
        <v>100</v>
      </c>
      <c r="S152" s="20" t="s">
        <v>11</v>
      </c>
      <c r="T152" s="20" t="s">
        <v>12</v>
      </c>
      <c r="U152" s="20" t="s">
        <v>13</v>
      </c>
      <c r="V152" s="20" t="s">
        <v>14</v>
      </c>
      <c r="W152" s="20" t="s">
        <v>15</v>
      </c>
      <c r="X152" s="20">
        <v>11440</v>
      </c>
      <c r="Y152" s="20">
        <v>130</v>
      </c>
      <c r="Z152" s="20">
        <v>2.1433000000000001E-2</v>
      </c>
      <c r="AA152" s="20">
        <v>533754</v>
      </c>
      <c r="AB152" s="20">
        <v>2.1433094646597498E-2</v>
      </c>
      <c r="AC152" s="20">
        <v>0.11700000000000001</v>
      </c>
      <c r="AD152" s="20" t="s">
        <v>16</v>
      </c>
      <c r="AE152" s="20" t="s">
        <v>17</v>
      </c>
      <c r="AF152" s="20">
        <v>0</v>
      </c>
      <c r="AG152" s="20" t="s">
        <v>805</v>
      </c>
      <c r="AH152" s="20" t="s">
        <v>561</v>
      </c>
      <c r="AI152" s="20" t="s">
        <v>15</v>
      </c>
      <c r="AJ152" s="20">
        <v>-1</v>
      </c>
      <c r="AK152" s="20" t="s">
        <v>15</v>
      </c>
      <c r="AL152" s="20">
        <v>-1</v>
      </c>
      <c r="AM152" s="20" t="s">
        <v>806</v>
      </c>
      <c r="AN152">
        <v>150</v>
      </c>
    </row>
    <row r="153" spans="1:40" x14ac:dyDescent="0.25">
      <c r="A153" s="20" t="s">
        <v>7</v>
      </c>
      <c r="B153" s="21" t="s">
        <v>8</v>
      </c>
      <c r="C153" s="20" t="s">
        <v>9</v>
      </c>
      <c r="D153" s="21" t="s">
        <v>252</v>
      </c>
      <c r="E153" s="20">
        <v>2018</v>
      </c>
      <c r="F153" s="20">
        <v>5</v>
      </c>
      <c r="G153" s="20" t="s">
        <v>9</v>
      </c>
      <c r="H153" s="20" t="s">
        <v>10</v>
      </c>
      <c r="I153" s="20" t="s">
        <v>203</v>
      </c>
      <c r="J153" s="20">
        <v>4025</v>
      </c>
      <c r="K153" s="20" t="s">
        <v>59</v>
      </c>
      <c r="L153" s="20" t="s">
        <v>59</v>
      </c>
      <c r="M153" s="22">
        <v>0.44305555555555554</v>
      </c>
      <c r="N153" s="22">
        <v>0.46527777777777773</v>
      </c>
      <c r="O153" s="20">
        <v>200</v>
      </c>
      <c r="P153" s="20">
        <v>257</v>
      </c>
      <c r="Q153" s="20" t="s">
        <v>253</v>
      </c>
      <c r="R153" s="20">
        <v>100</v>
      </c>
      <c r="S153" s="20" t="s">
        <v>11</v>
      </c>
      <c r="T153" s="20" t="s">
        <v>12</v>
      </c>
      <c r="U153" s="20" t="s">
        <v>13</v>
      </c>
      <c r="V153" s="20" t="s">
        <v>14</v>
      </c>
      <c r="W153" s="20" t="s">
        <v>15</v>
      </c>
      <c r="X153" s="20">
        <v>8224</v>
      </c>
      <c r="Y153" s="20">
        <v>32</v>
      </c>
      <c r="Z153" s="20">
        <v>1.5408E-2</v>
      </c>
      <c r="AA153" s="20">
        <v>533754</v>
      </c>
      <c r="AB153" s="20">
        <v>1.5407847060630928E-2</v>
      </c>
      <c r="AC153" s="20">
        <v>0.107</v>
      </c>
      <c r="AD153" s="20" t="s">
        <v>16</v>
      </c>
      <c r="AE153" s="20" t="s">
        <v>17</v>
      </c>
      <c r="AF153" s="20">
        <v>0</v>
      </c>
      <c r="AG153" s="20" t="s">
        <v>253</v>
      </c>
      <c r="AH153" s="20" t="s">
        <v>211</v>
      </c>
      <c r="AI153" s="20" t="s">
        <v>15</v>
      </c>
      <c r="AJ153" s="20">
        <v>-1</v>
      </c>
      <c r="AK153" s="20" t="s">
        <v>15</v>
      </c>
      <c r="AL153" s="20">
        <v>-1</v>
      </c>
      <c r="AM153" s="20" t="s">
        <v>254</v>
      </c>
      <c r="AN153">
        <v>151</v>
      </c>
    </row>
    <row r="154" spans="1:40" x14ac:dyDescent="0.25">
      <c r="A154" s="20" t="s">
        <v>7</v>
      </c>
      <c r="B154" s="21" t="s">
        <v>8</v>
      </c>
      <c r="C154" s="20" t="s">
        <v>9</v>
      </c>
      <c r="D154" s="21" t="s">
        <v>807</v>
      </c>
      <c r="E154" s="20">
        <v>2018</v>
      </c>
      <c r="F154" s="20">
        <v>5</v>
      </c>
      <c r="G154" s="20" t="s">
        <v>342</v>
      </c>
      <c r="H154" s="20" t="s">
        <v>342</v>
      </c>
      <c r="I154" s="20" t="s">
        <v>397</v>
      </c>
      <c r="J154" s="20">
        <v>4015</v>
      </c>
      <c r="K154" s="20" t="s">
        <v>808</v>
      </c>
      <c r="L154" s="20" t="s">
        <v>808</v>
      </c>
      <c r="M154" s="22">
        <v>0.35347222222222219</v>
      </c>
      <c r="N154" s="22">
        <v>0.59375</v>
      </c>
      <c r="O154" s="20">
        <v>59</v>
      </c>
      <c r="P154" s="20">
        <v>137</v>
      </c>
      <c r="Q154" s="20" t="s">
        <v>809</v>
      </c>
      <c r="R154" s="20">
        <v>0</v>
      </c>
      <c r="S154" s="20" t="s">
        <v>11</v>
      </c>
      <c r="T154" s="20" t="s">
        <v>19</v>
      </c>
      <c r="U154" s="20" t="s">
        <v>13</v>
      </c>
      <c r="V154" s="20" t="s">
        <v>14</v>
      </c>
      <c r="W154" s="20" t="s">
        <v>15</v>
      </c>
      <c r="X154" s="20">
        <v>47402</v>
      </c>
      <c r="Y154" s="20">
        <v>346</v>
      </c>
      <c r="Z154" s="20">
        <v>8.8808999999999999E-2</v>
      </c>
      <c r="AA154" s="20">
        <v>533754</v>
      </c>
      <c r="AB154" s="20">
        <v>8.8808702136190076E-2</v>
      </c>
      <c r="AC154" s="20">
        <v>0.34</v>
      </c>
      <c r="AD154" s="20" t="s">
        <v>16</v>
      </c>
      <c r="AE154" s="20" t="s">
        <v>17</v>
      </c>
      <c r="AF154" s="20">
        <v>0</v>
      </c>
      <c r="AG154" s="20" t="s">
        <v>809</v>
      </c>
      <c r="AH154" s="20" t="s">
        <v>810</v>
      </c>
      <c r="AI154" s="20" t="s">
        <v>15</v>
      </c>
      <c r="AJ154" s="20">
        <v>-1</v>
      </c>
      <c r="AK154" s="20" t="s">
        <v>15</v>
      </c>
      <c r="AL154" s="20">
        <v>-1</v>
      </c>
      <c r="AM154" s="20" t="s">
        <v>811</v>
      </c>
      <c r="AN154">
        <v>152</v>
      </c>
    </row>
    <row r="155" spans="1:40" x14ac:dyDescent="0.25">
      <c r="A155" s="20" t="s">
        <v>7</v>
      </c>
      <c r="B155" s="21" t="s">
        <v>8</v>
      </c>
      <c r="C155" s="20" t="s">
        <v>9</v>
      </c>
      <c r="D155" s="21" t="s">
        <v>812</v>
      </c>
      <c r="E155" s="20">
        <v>2018</v>
      </c>
      <c r="F155" s="20">
        <v>5</v>
      </c>
      <c r="G155" s="20" t="s">
        <v>342</v>
      </c>
      <c r="H155" s="20" t="s">
        <v>10</v>
      </c>
      <c r="I155" s="20" t="s">
        <v>397</v>
      </c>
      <c r="J155" s="20">
        <v>4045</v>
      </c>
      <c r="K155" s="20" t="s">
        <v>813</v>
      </c>
      <c r="L155" s="20" t="s">
        <v>813</v>
      </c>
      <c r="M155" s="22">
        <v>0.30902777777777779</v>
      </c>
      <c r="N155" s="22">
        <v>0.46458333333333335</v>
      </c>
      <c r="O155" s="20">
        <v>317</v>
      </c>
      <c r="P155" s="20">
        <v>429</v>
      </c>
      <c r="Q155" s="20" t="s">
        <v>20</v>
      </c>
      <c r="R155" s="20">
        <v>100</v>
      </c>
      <c r="S155" s="20" t="s">
        <v>53</v>
      </c>
      <c r="T155" s="20" t="s">
        <v>814</v>
      </c>
      <c r="U155" s="20" t="s">
        <v>13</v>
      </c>
      <c r="V155" s="20" t="s">
        <v>14</v>
      </c>
      <c r="W155" s="20" t="s">
        <v>15</v>
      </c>
      <c r="X155" s="20">
        <v>96096</v>
      </c>
      <c r="Y155" s="20">
        <v>224</v>
      </c>
      <c r="Z155" s="20">
        <v>0.180038</v>
      </c>
      <c r="AA155" s="20">
        <v>533754</v>
      </c>
      <c r="AB155" s="20">
        <v>0.18003799503141896</v>
      </c>
      <c r="AC155" s="20">
        <v>1.1839999999999999</v>
      </c>
      <c r="AD155" s="20" t="s">
        <v>16</v>
      </c>
      <c r="AE155" s="20" t="s">
        <v>21</v>
      </c>
      <c r="AF155" s="20" t="s">
        <v>815</v>
      </c>
      <c r="AG155" s="20">
        <v>0</v>
      </c>
      <c r="AH155" s="20" t="s">
        <v>22</v>
      </c>
      <c r="AI155" s="20" t="s">
        <v>15</v>
      </c>
      <c r="AJ155" s="20">
        <v>-1</v>
      </c>
      <c r="AK155" s="20" t="s">
        <v>15</v>
      </c>
      <c r="AL155" s="20">
        <v>-1</v>
      </c>
      <c r="AM155" s="20" t="s">
        <v>18</v>
      </c>
      <c r="AN155">
        <v>153</v>
      </c>
    </row>
    <row r="156" spans="1:40" x14ac:dyDescent="0.25">
      <c r="A156" s="20" t="s">
        <v>7</v>
      </c>
      <c r="B156" s="21" t="s">
        <v>8</v>
      </c>
      <c r="C156" s="20" t="s">
        <v>9</v>
      </c>
      <c r="D156" s="21" t="s">
        <v>816</v>
      </c>
      <c r="E156" s="20">
        <v>2018</v>
      </c>
      <c r="F156" s="20">
        <v>5</v>
      </c>
      <c r="G156" s="20" t="s">
        <v>329</v>
      </c>
      <c r="H156" s="20" t="s">
        <v>10</v>
      </c>
      <c r="I156" s="20" t="s">
        <v>352</v>
      </c>
      <c r="J156" s="20">
        <v>4030</v>
      </c>
      <c r="K156" s="20" t="s">
        <v>813</v>
      </c>
      <c r="L156" s="20" t="s">
        <v>813</v>
      </c>
      <c r="M156" s="22">
        <v>0.6020833333333333</v>
      </c>
      <c r="N156" s="22">
        <v>0.85833333333333339</v>
      </c>
      <c r="O156" s="20">
        <v>86</v>
      </c>
      <c r="P156" s="20">
        <v>43</v>
      </c>
      <c r="Q156" s="20" t="s">
        <v>817</v>
      </c>
      <c r="R156" s="20">
        <v>100</v>
      </c>
      <c r="S156" s="20" t="s">
        <v>11</v>
      </c>
      <c r="T156" s="20" t="s">
        <v>19</v>
      </c>
      <c r="U156" s="20" t="s">
        <v>13</v>
      </c>
      <c r="V156" s="20" t="s">
        <v>14</v>
      </c>
      <c r="W156" s="20" t="s">
        <v>15</v>
      </c>
      <c r="X156" s="20">
        <v>15867</v>
      </c>
      <c r="Y156" s="20">
        <v>369</v>
      </c>
      <c r="Z156" s="20">
        <v>2.9727E-2</v>
      </c>
      <c r="AA156" s="20">
        <v>533754</v>
      </c>
      <c r="AB156" s="20">
        <v>2.972717768859812E-2</v>
      </c>
      <c r="AC156" s="20">
        <v>0.52900000000000003</v>
      </c>
      <c r="AD156" s="20" t="s">
        <v>16</v>
      </c>
      <c r="AE156" s="20" t="s">
        <v>17</v>
      </c>
      <c r="AF156" s="20">
        <v>0</v>
      </c>
      <c r="AG156" s="20" t="s">
        <v>817</v>
      </c>
      <c r="AH156" s="20" t="s">
        <v>339</v>
      </c>
      <c r="AI156" s="20" t="s">
        <v>15</v>
      </c>
      <c r="AJ156" s="20">
        <v>-1</v>
      </c>
      <c r="AK156" s="20" t="s">
        <v>15</v>
      </c>
      <c r="AL156" s="20">
        <v>-1</v>
      </c>
      <c r="AM156" s="20" t="s">
        <v>818</v>
      </c>
      <c r="AN156">
        <v>154</v>
      </c>
    </row>
    <row r="157" spans="1:40" x14ac:dyDescent="0.25">
      <c r="A157" s="20" t="s">
        <v>7</v>
      </c>
      <c r="B157" s="21" t="s">
        <v>8</v>
      </c>
      <c r="C157" s="20" t="s">
        <v>9</v>
      </c>
      <c r="D157" s="21" t="s">
        <v>819</v>
      </c>
      <c r="E157" s="20">
        <v>2018</v>
      </c>
      <c r="F157" s="20">
        <v>5</v>
      </c>
      <c r="G157" s="20" t="s">
        <v>323</v>
      </c>
      <c r="H157" s="20" t="s">
        <v>10</v>
      </c>
      <c r="I157" s="20" t="s">
        <v>381</v>
      </c>
      <c r="J157" s="20">
        <v>4010</v>
      </c>
      <c r="K157" s="20" t="s">
        <v>813</v>
      </c>
      <c r="L157" s="20" t="s">
        <v>813</v>
      </c>
      <c r="M157" s="22">
        <v>0.58958333333333335</v>
      </c>
      <c r="N157" s="22">
        <v>0.59791666666666665</v>
      </c>
      <c r="O157" s="20">
        <v>1592</v>
      </c>
      <c r="P157" s="20">
        <v>2953</v>
      </c>
      <c r="Q157" s="20" t="s">
        <v>20</v>
      </c>
      <c r="R157" s="20">
        <v>100</v>
      </c>
      <c r="S157" s="20" t="s">
        <v>23</v>
      </c>
      <c r="T157" s="20" t="s">
        <v>24</v>
      </c>
      <c r="U157" s="20" t="s">
        <v>13</v>
      </c>
      <c r="V157" s="20" t="s">
        <v>14</v>
      </c>
      <c r="W157" s="20" t="s">
        <v>15</v>
      </c>
      <c r="X157" s="20">
        <v>35436</v>
      </c>
      <c r="Y157" s="20">
        <v>12</v>
      </c>
      <c r="Z157" s="20">
        <v>6.6390000000000005E-2</v>
      </c>
      <c r="AA157" s="20">
        <v>533754</v>
      </c>
      <c r="AB157" s="20">
        <v>6.6390134781191337E-2</v>
      </c>
      <c r="AC157" s="20">
        <v>0.318</v>
      </c>
      <c r="AD157" s="20" t="s">
        <v>16</v>
      </c>
      <c r="AE157" s="20" t="s">
        <v>21</v>
      </c>
      <c r="AF157" s="20" t="s">
        <v>820</v>
      </c>
      <c r="AG157" s="20">
        <v>0</v>
      </c>
      <c r="AH157" s="20" t="s">
        <v>821</v>
      </c>
      <c r="AI157" s="20" t="s">
        <v>15</v>
      </c>
      <c r="AJ157" s="20">
        <v>-1</v>
      </c>
      <c r="AK157" s="20" t="s">
        <v>15</v>
      </c>
      <c r="AL157" s="20">
        <v>-1</v>
      </c>
      <c r="AM157" s="20" t="s">
        <v>18</v>
      </c>
      <c r="AN157">
        <v>155</v>
      </c>
    </row>
    <row r="158" spans="1:40" x14ac:dyDescent="0.25">
      <c r="A158" s="20" t="s">
        <v>7</v>
      </c>
      <c r="B158" s="21" t="s">
        <v>8</v>
      </c>
      <c r="C158" s="20" t="s">
        <v>9</v>
      </c>
      <c r="D158" s="21" t="s">
        <v>822</v>
      </c>
      <c r="E158" s="20">
        <v>2018</v>
      </c>
      <c r="F158" s="20">
        <v>5</v>
      </c>
      <c r="G158" s="20" t="s">
        <v>323</v>
      </c>
      <c r="H158" s="20" t="s">
        <v>10</v>
      </c>
      <c r="I158" s="20" t="s">
        <v>381</v>
      </c>
      <c r="J158" s="20">
        <v>4010</v>
      </c>
      <c r="K158" s="20" t="s">
        <v>60</v>
      </c>
      <c r="L158" s="20" t="s">
        <v>60</v>
      </c>
      <c r="M158" s="22">
        <v>0.6743055555555556</v>
      </c>
      <c r="N158" s="22">
        <v>0.77083333333333337</v>
      </c>
      <c r="O158" s="20">
        <v>120</v>
      </c>
      <c r="P158" s="20">
        <v>138</v>
      </c>
      <c r="Q158" s="20" t="s">
        <v>823</v>
      </c>
      <c r="R158" s="20">
        <v>100</v>
      </c>
      <c r="S158" s="20" t="s">
        <v>25</v>
      </c>
      <c r="T158" s="20" t="s">
        <v>26</v>
      </c>
      <c r="U158" s="20" t="s">
        <v>13</v>
      </c>
      <c r="V158" s="20" t="s">
        <v>14</v>
      </c>
      <c r="W158" s="20" t="s">
        <v>15</v>
      </c>
      <c r="X158" s="20">
        <v>19182</v>
      </c>
      <c r="Y158" s="20">
        <v>139</v>
      </c>
      <c r="Z158" s="20">
        <v>3.5937999999999998E-2</v>
      </c>
      <c r="AA158" s="20">
        <v>533754</v>
      </c>
      <c r="AB158" s="20">
        <v>3.5937903978237165E-2</v>
      </c>
      <c r="AC158" s="20">
        <v>0.27800000000000002</v>
      </c>
      <c r="AD158" s="20" t="s">
        <v>16</v>
      </c>
      <c r="AE158" s="20" t="s">
        <v>17</v>
      </c>
      <c r="AF158" s="20">
        <v>0</v>
      </c>
      <c r="AG158" s="20" t="s">
        <v>823</v>
      </c>
      <c r="AH158" s="20" t="s">
        <v>607</v>
      </c>
      <c r="AI158" s="20" t="s">
        <v>15</v>
      </c>
      <c r="AJ158" s="20">
        <v>-1</v>
      </c>
      <c r="AK158" s="20" t="s">
        <v>15</v>
      </c>
      <c r="AL158" s="20">
        <v>-1</v>
      </c>
      <c r="AM158" s="20" t="s">
        <v>824</v>
      </c>
      <c r="AN158">
        <v>156</v>
      </c>
    </row>
    <row r="159" spans="1:40" x14ac:dyDescent="0.25">
      <c r="A159" s="20" t="s">
        <v>7</v>
      </c>
      <c r="B159" s="21" t="s">
        <v>8</v>
      </c>
      <c r="C159" s="20" t="s">
        <v>9</v>
      </c>
      <c r="D159" s="21" t="s">
        <v>825</v>
      </c>
      <c r="E159" s="20">
        <v>2018</v>
      </c>
      <c r="F159" s="20">
        <v>5</v>
      </c>
      <c r="G159" s="20" t="s">
        <v>329</v>
      </c>
      <c r="H159" s="20" t="s">
        <v>10</v>
      </c>
      <c r="I159" s="20" t="s">
        <v>397</v>
      </c>
      <c r="J159" s="20">
        <v>4045</v>
      </c>
      <c r="K159" s="20" t="s">
        <v>60</v>
      </c>
      <c r="L159" s="20" t="s">
        <v>60</v>
      </c>
      <c r="M159" s="22">
        <v>0.47083333333333338</v>
      </c>
      <c r="N159" s="22">
        <v>0.70833333333333337</v>
      </c>
      <c r="O159" s="20">
        <v>27</v>
      </c>
      <c r="P159" s="20">
        <v>25</v>
      </c>
      <c r="Q159" s="20" t="s">
        <v>826</v>
      </c>
      <c r="R159" s="20">
        <v>100</v>
      </c>
      <c r="S159" s="20" t="s">
        <v>11</v>
      </c>
      <c r="T159" s="20" t="s">
        <v>12</v>
      </c>
      <c r="U159" s="20" t="s">
        <v>13</v>
      </c>
      <c r="V159" s="20" t="s">
        <v>14</v>
      </c>
      <c r="W159" s="20" t="s">
        <v>15</v>
      </c>
      <c r="X159" s="20">
        <v>8550</v>
      </c>
      <c r="Y159" s="20">
        <v>342</v>
      </c>
      <c r="Z159" s="20">
        <v>1.6018999999999999E-2</v>
      </c>
      <c r="AA159" s="20">
        <v>533754</v>
      </c>
      <c r="AB159" s="20">
        <v>1.6018615317168583E-2</v>
      </c>
      <c r="AC159" s="20">
        <v>0.154</v>
      </c>
      <c r="AD159" s="20" t="s">
        <v>16</v>
      </c>
      <c r="AE159" s="20" t="s">
        <v>17</v>
      </c>
      <c r="AF159" s="20">
        <v>0</v>
      </c>
      <c r="AG159" s="20" t="s">
        <v>826</v>
      </c>
      <c r="AH159" s="20" t="s">
        <v>339</v>
      </c>
      <c r="AI159" s="20" t="s">
        <v>15</v>
      </c>
      <c r="AJ159" s="20">
        <v>-1</v>
      </c>
      <c r="AK159" s="20" t="s">
        <v>15</v>
      </c>
      <c r="AL159" s="20">
        <v>-1</v>
      </c>
      <c r="AM159" s="20" t="s">
        <v>827</v>
      </c>
      <c r="AN159">
        <v>157</v>
      </c>
    </row>
    <row r="160" spans="1:40" x14ac:dyDescent="0.25">
      <c r="A160" s="20" t="s">
        <v>7</v>
      </c>
      <c r="B160" s="21" t="s">
        <v>8</v>
      </c>
      <c r="C160" s="20" t="s">
        <v>9</v>
      </c>
      <c r="D160" s="21" t="s">
        <v>255</v>
      </c>
      <c r="E160" s="20">
        <v>2018</v>
      </c>
      <c r="F160" s="20">
        <v>5</v>
      </c>
      <c r="G160" s="20" t="s">
        <v>9</v>
      </c>
      <c r="H160" s="20" t="s">
        <v>10</v>
      </c>
      <c r="I160" s="20" t="s">
        <v>187</v>
      </c>
      <c r="J160" s="20">
        <v>4012</v>
      </c>
      <c r="K160" s="20" t="s">
        <v>60</v>
      </c>
      <c r="L160" s="20" t="s">
        <v>60</v>
      </c>
      <c r="M160" s="22">
        <v>0.90902777777777777</v>
      </c>
      <c r="N160" s="22">
        <v>0.91319444444444453</v>
      </c>
      <c r="O160" s="20">
        <v>12</v>
      </c>
      <c r="P160" s="20">
        <v>30</v>
      </c>
      <c r="Q160" s="20" t="s">
        <v>256</v>
      </c>
      <c r="R160" s="20">
        <v>100</v>
      </c>
      <c r="S160" s="20" t="s">
        <v>25</v>
      </c>
      <c r="T160" s="20" t="s">
        <v>26</v>
      </c>
      <c r="U160" s="20" t="s">
        <v>13</v>
      </c>
      <c r="V160" s="20" t="s">
        <v>14</v>
      </c>
      <c r="W160" s="20" t="s">
        <v>15</v>
      </c>
      <c r="X160" s="20">
        <v>180</v>
      </c>
      <c r="Y160" s="20">
        <v>6</v>
      </c>
      <c r="Z160" s="20">
        <v>3.3700000000000001E-4</v>
      </c>
      <c r="AA160" s="20">
        <v>533754</v>
      </c>
      <c r="AB160" s="20">
        <v>3.3723400667723331E-4</v>
      </c>
      <c r="AC160" s="20">
        <v>1E-3</v>
      </c>
      <c r="AD160" s="20" t="s">
        <v>16</v>
      </c>
      <c r="AE160" s="20" t="s">
        <v>17</v>
      </c>
      <c r="AF160" s="20">
        <v>0</v>
      </c>
      <c r="AG160" s="20" t="s">
        <v>256</v>
      </c>
      <c r="AH160" s="20" t="s">
        <v>188</v>
      </c>
      <c r="AI160" s="20" t="s">
        <v>15</v>
      </c>
      <c r="AJ160" s="20">
        <v>-1</v>
      </c>
      <c r="AK160" s="20" t="s">
        <v>15</v>
      </c>
      <c r="AL160" s="20">
        <v>-1</v>
      </c>
      <c r="AM160" s="20" t="s">
        <v>257</v>
      </c>
      <c r="AN160">
        <v>158</v>
      </c>
    </row>
    <row r="161" spans="1:40" x14ac:dyDescent="0.25">
      <c r="A161" s="20" t="s">
        <v>7</v>
      </c>
      <c r="B161" s="21" t="s">
        <v>8</v>
      </c>
      <c r="C161" s="20" t="s">
        <v>9</v>
      </c>
      <c r="D161" s="21" t="s">
        <v>828</v>
      </c>
      <c r="E161" s="20">
        <v>2018</v>
      </c>
      <c r="F161" s="20">
        <v>5</v>
      </c>
      <c r="G161" s="20" t="s">
        <v>329</v>
      </c>
      <c r="H161" s="20" t="s">
        <v>10</v>
      </c>
      <c r="I161" s="20" t="s">
        <v>376</v>
      </c>
      <c r="J161" s="20">
        <v>4010</v>
      </c>
      <c r="K161" s="20" t="s">
        <v>60</v>
      </c>
      <c r="L161" s="20" t="s">
        <v>60</v>
      </c>
      <c r="M161" s="22">
        <v>0.44166666666666665</v>
      </c>
      <c r="N161" s="22">
        <v>0.6381944444444444</v>
      </c>
      <c r="O161" s="20">
        <v>69</v>
      </c>
      <c r="P161" s="20">
        <v>66</v>
      </c>
      <c r="Q161" s="20" t="s">
        <v>829</v>
      </c>
      <c r="R161" s="20">
        <v>100</v>
      </c>
      <c r="S161" s="20" t="s">
        <v>11</v>
      </c>
      <c r="T161" s="20" t="s">
        <v>12</v>
      </c>
      <c r="U161" s="20" t="s">
        <v>13</v>
      </c>
      <c r="V161" s="20" t="s">
        <v>14</v>
      </c>
      <c r="W161" s="20" t="s">
        <v>15</v>
      </c>
      <c r="X161" s="20">
        <v>18678</v>
      </c>
      <c r="Y161" s="20">
        <v>283</v>
      </c>
      <c r="Z161" s="20">
        <v>3.4993999999999997E-2</v>
      </c>
      <c r="AA161" s="20">
        <v>533754</v>
      </c>
      <c r="AB161" s="20">
        <v>3.4993648759540912E-2</v>
      </c>
      <c r="AC161" s="20">
        <v>0.32600000000000001</v>
      </c>
      <c r="AD161" s="20" t="s">
        <v>16</v>
      </c>
      <c r="AE161" s="20" t="s">
        <v>17</v>
      </c>
      <c r="AF161" s="20">
        <v>0</v>
      </c>
      <c r="AG161" s="20" t="s">
        <v>829</v>
      </c>
      <c r="AH161" s="20" t="s">
        <v>339</v>
      </c>
      <c r="AI161" s="20" t="s">
        <v>15</v>
      </c>
      <c r="AJ161" s="20">
        <v>-1</v>
      </c>
      <c r="AK161" s="20" t="s">
        <v>15</v>
      </c>
      <c r="AL161" s="20">
        <v>-1</v>
      </c>
      <c r="AM161" s="20" t="s">
        <v>830</v>
      </c>
      <c r="AN161">
        <v>159</v>
      </c>
    </row>
    <row r="162" spans="1:40" x14ac:dyDescent="0.25">
      <c r="A162" s="20" t="s">
        <v>7</v>
      </c>
      <c r="B162" s="21" t="s">
        <v>8</v>
      </c>
      <c r="C162" s="20" t="s">
        <v>9</v>
      </c>
      <c r="D162" s="21" t="s">
        <v>831</v>
      </c>
      <c r="E162" s="20">
        <v>2018</v>
      </c>
      <c r="F162" s="20">
        <v>5</v>
      </c>
      <c r="G162" s="20" t="s">
        <v>329</v>
      </c>
      <c r="H162" s="20" t="s">
        <v>10</v>
      </c>
      <c r="I162" s="20" t="s">
        <v>352</v>
      </c>
      <c r="J162" s="20">
        <v>4030</v>
      </c>
      <c r="K162" s="20" t="s">
        <v>832</v>
      </c>
      <c r="L162" s="20" t="s">
        <v>832</v>
      </c>
      <c r="M162" s="22">
        <v>0.45</v>
      </c>
      <c r="N162" s="22">
        <v>0.77430555555555547</v>
      </c>
      <c r="O162" s="20">
        <v>54</v>
      </c>
      <c r="P162" s="20">
        <v>58</v>
      </c>
      <c r="Q162" s="20" t="s">
        <v>805</v>
      </c>
      <c r="R162" s="20">
        <v>100</v>
      </c>
      <c r="S162" s="20" t="s">
        <v>11</v>
      </c>
      <c r="T162" s="20" t="s">
        <v>12</v>
      </c>
      <c r="U162" s="20" t="s">
        <v>13</v>
      </c>
      <c r="V162" s="20" t="s">
        <v>14</v>
      </c>
      <c r="W162" s="20" t="s">
        <v>15</v>
      </c>
      <c r="X162" s="20">
        <v>27086</v>
      </c>
      <c r="Y162" s="20">
        <v>467</v>
      </c>
      <c r="Z162" s="20">
        <v>5.0745999999999999E-2</v>
      </c>
      <c r="AA162" s="20">
        <v>533754</v>
      </c>
      <c r="AB162" s="20">
        <v>5.0746223915886346E-2</v>
      </c>
      <c r="AC162" s="20">
        <v>0.42</v>
      </c>
      <c r="AD162" s="20" t="s">
        <v>16</v>
      </c>
      <c r="AE162" s="20" t="s">
        <v>17</v>
      </c>
      <c r="AF162" s="20">
        <v>0</v>
      </c>
      <c r="AG162" s="20" t="s">
        <v>805</v>
      </c>
      <c r="AH162" s="20" t="s">
        <v>339</v>
      </c>
      <c r="AI162" s="20" t="s">
        <v>15</v>
      </c>
      <c r="AJ162" s="20">
        <v>-1</v>
      </c>
      <c r="AK162" s="20" t="s">
        <v>15</v>
      </c>
      <c r="AL162" s="20">
        <v>-1</v>
      </c>
      <c r="AM162" s="20" t="s">
        <v>833</v>
      </c>
      <c r="AN162">
        <v>160</v>
      </c>
    </row>
    <row r="163" spans="1:40" x14ac:dyDescent="0.25">
      <c r="A163" s="20" t="s">
        <v>7</v>
      </c>
      <c r="B163" s="21" t="s">
        <v>8</v>
      </c>
      <c r="C163" s="20" t="s">
        <v>9</v>
      </c>
      <c r="D163" s="21" t="s">
        <v>834</v>
      </c>
      <c r="E163" s="20">
        <v>2018</v>
      </c>
      <c r="F163" s="20">
        <v>5</v>
      </c>
      <c r="G163" s="20" t="s">
        <v>329</v>
      </c>
      <c r="H163" s="20" t="s">
        <v>10</v>
      </c>
      <c r="I163" s="20" t="s">
        <v>352</v>
      </c>
      <c r="J163" s="20">
        <v>4010</v>
      </c>
      <c r="K163" s="20" t="s">
        <v>832</v>
      </c>
      <c r="L163" s="20" t="s">
        <v>832</v>
      </c>
      <c r="M163" s="22">
        <v>0.46875</v>
      </c>
      <c r="N163" s="22">
        <v>0.77777777777777779</v>
      </c>
      <c r="O163" s="20">
        <v>48</v>
      </c>
      <c r="P163" s="20">
        <v>65</v>
      </c>
      <c r="Q163" s="20" t="s">
        <v>835</v>
      </c>
      <c r="R163" s="20">
        <v>100</v>
      </c>
      <c r="S163" s="20" t="s">
        <v>11</v>
      </c>
      <c r="T163" s="20" t="s">
        <v>12</v>
      </c>
      <c r="U163" s="20" t="s">
        <v>13</v>
      </c>
      <c r="V163" s="20" t="s">
        <v>14</v>
      </c>
      <c r="W163" s="20" t="s">
        <v>15</v>
      </c>
      <c r="X163" s="20">
        <v>28925</v>
      </c>
      <c r="Y163" s="20">
        <v>445</v>
      </c>
      <c r="Z163" s="20">
        <v>5.4191999999999997E-2</v>
      </c>
      <c r="AA163" s="20">
        <v>533754</v>
      </c>
      <c r="AB163" s="20">
        <v>5.4191631350772075E-2</v>
      </c>
      <c r="AC163" s="20">
        <v>0.35599999999999998</v>
      </c>
      <c r="AD163" s="20" t="s">
        <v>16</v>
      </c>
      <c r="AE163" s="20" t="s">
        <v>17</v>
      </c>
      <c r="AF163" s="20">
        <v>0</v>
      </c>
      <c r="AG163" s="20" t="s">
        <v>835</v>
      </c>
      <c r="AH163" s="20" t="s">
        <v>561</v>
      </c>
      <c r="AI163" s="20" t="s">
        <v>15</v>
      </c>
      <c r="AJ163" s="20">
        <v>-1</v>
      </c>
      <c r="AK163" s="20" t="s">
        <v>15</v>
      </c>
      <c r="AL163" s="20">
        <v>-1</v>
      </c>
      <c r="AM163" s="20" t="s">
        <v>836</v>
      </c>
      <c r="AN163">
        <v>161</v>
      </c>
    </row>
    <row r="164" spans="1:40" x14ac:dyDescent="0.25">
      <c r="A164" s="20" t="s">
        <v>7</v>
      </c>
      <c r="B164" s="21" t="s">
        <v>8</v>
      </c>
      <c r="C164" s="20" t="s">
        <v>9</v>
      </c>
      <c r="D164" s="21" t="s">
        <v>837</v>
      </c>
      <c r="E164" s="20">
        <v>2018</v>
      </c>
      <c r="F164" s="20">
        <v>5</v>
      </c>
      <c r="G164" s="20" t="s">
        <v>329</v>
      </c>
      <c r="H164" s="20" t="s">
        <v>10</v>
      </c>
      <c r="I164" s="20" t="s">
        <v>352</v>
      </c>
      <c r="J164" s="20">
        <v>4020</v>
      </c>
      <c r="K164" s="20" t="s">
        <v>838</v>
      </c>
      <c r="L164" s="20" t="s">
        <v>838</v>
      </c>
      <c r="M164" s="22">
        <v>0.61805555555555558</v>
      </c>
      <c r="N164" s="22">
        <v>0.69444444444444453</v>
      </c>
      <c r="O164" s="20">
        <v>70</v>
      </c>
      <c r="P164" s="20">
        <v>145</v>
      </c>
      <c r="Q164" s="20" t="s">
        <v>839</v>
      </c>
      <c r="R164" s="20">
        <v>100</v>
      </c>
      <c r="S164" s="20" t="s">
        <v>11</v>
      </c>
      <c r="T164" s="20" t="s">
        <v>12</v>
      </c>
      <c r="U164" s="20" t="s">
        <v>13</v>
      </c>
      <c r="V164" s="20" t="s">
        <v>14</v>
      </c>
      <c r="W164" s="20" t="s">
        <v>15</v>
      </c>
      <c r="X164" s="20">
        <v>15950</v>
      </c>
      <c r="Y164" s="20">
        <v>110</v>
      </c>
      <c r="Z164" s="20">
        <v>2.9883E-2</v>
      </c>
      <c r="AA164" s="20">
        <v>533754</v>
      </c>
      <c r="AB164" s="20">
        <v>2.988268003612151E-2</v>
      </c>
      <c r="AC164" s="20">
        <v>0.128</v>
      </c>
      <c r="AD164" s="20" t="s">
        <v>16</v>
      </c>
      <c r="AE164" s="20" t="s">
        <v>17</v>
      </c>
      <c r="AF164" s="20">
        <v>0</v>
      </c>
      <c r="AG164" s="20" t="s">
        <v>839</v>
      </c>
      <c r="AH164" s="20" t="s">
        <v>561</v>
      </c>
      <c r="AI164" s="20" t="s">
        <v>15</v>
      </c>
      <c r="AJ164" s="20">
        <v>-1</v>
      </c>
      <c r="AK164" s="20" t="s">
        <v>15</v>
      </c>
      <c r="AL164" s="20">
        <v>-1</v>
      </c>
      <c r="AM164" s="20" t="s">
        <v>840</v>
      </c>
      <c r="AN164">
        <v>162</v>
      </c>
    </row>
    <row r="165" spans="1:40" x14ac:dyDescent="0.25">
      <c r="A165" s="20" t="s">
        <v>7</v>
      </c>
      <c r="B165" s="21" t="s">
        <v>8</v>
      </c>
      <c r="C165" s="20" t="s">
        <v>9</v>
      </c>
      <c r="D165" s="21" t="s">
        <v>841</v>
      </c>
      <c r="E165" s="20">
        <v>2018</v>
      </c>
      <c r="F165" s="20">
        <v>5</v>
      </c>
      <c r="G165" s="20" t="s">
        <v>329</v>
      </c>
      <c r="H165" s="20" t="s">
        <v>10</v>
      </c>
      <c r="I165" s="20" t="s">
        <v>376</v>
      </c>
      <c r="J165" s="20">
        <v>4010</v>
      </c>
      <c r="K165" s="20" t="s">
        <v>838</v>
      </c>
      <c r="L165" s="20" t="s">
        <v>838</v>
      </c>
      <c r="M165" s="22">
        <v>0.81319444444444444</v>
      </c>
      <c r="N165" s="22">
        <v>0.87638888888888899</v>
      </c>
      <c r="O165" s="20">
        <v>69</v>
      </c>
      <c r="P165" s="20">
        <v>100</v>
      </c>
      <c r="Q165" s="20" t="s">
        <v>754</v>
      </c>
      <c r="R165" s="20">
        <v>100</v>
      </c>
      <c r="S165" s="20" t="s">
        <v>11</v>
      </c>
      <c r="T165" s="20" t="s">
        <v>12</v>
      </c>
      <c r="U165" s="20" t="s">
        <v>13</v>
      </c>
      <c r="V165" s="20" t="s">
        <v>14</v>
      </c>
      <c r="W165" s="20" t="s">
        <v>15</v>
      </c>
      <c r="X165" s="20">
        <v>9100</v>
      </c>
      <c r="Y165" s="20">
        <v>91</v>
      </c>
      <c r="Z165" s="20">
        <v>1.7049000000000002E-2</v>
      </c>
      <c r="AA165" s="20">
        <v>533754</v>
      </c>
      <c r="AB165" s="20">
        <v>1.7049052559793464E-2</v>
      </c>
      <c r="AC165" s="20">
        <v>0.105</v>
      </c>
      <c r="AD165" s="20" t="s">
        <v>16</v>
      </c>
      <c r="AE165" s="20" t="s">
        <v>17</v>
      </c>
      <c r="AF165" s="20">
        <v>0</v>
      </c>
      <c r="AG165" s="20" t="s">
        <v>754</v>
      </c>
      <c r="AH165" s="20" t="s">
        <v>22</v>
      </c>
      <c r="AI165" s="20" t="s">
        <v>15</v>
      </c>
      <c r="AJ165" s="20">
        <v>-1</v>
      </c>
      <c r="AK165" s="20" t="s">
        <v>15</v>
      </c>
      <c r="AL165" s="20">
        <v>-1</v>
      </c>
      <c r="AM165" s="20" t="s">
        <v>842</v>
      </c>
      <c r="AN165">
        <v>163</v>
      </c>
    </row>
    <row r="166" spans="1:40" x14ac:dyDescent="0.25">
      <c r="A166" s="20" t="s">
        <v>7</v>
      </c>
      <c r="B166" s="21" t="s">
        <v>8</v>
      </c>
      <c r="C166" s="20" t="s">
        <v>9</v>
      </c>
      <c r="D166" s="21" t="s">
        <v>843</v>
      </c>
      <c r="E166" s="20">
        <v>2018</v>
      </c>
      <c r="F166" s="20">
        <v>5</v>
      </c>
      <c r="G166" s="20" t="s">
        <v>329</v>
      </c>
      <c r="H166" s="20" t="s">
        <v>10</v>
      </c>
      <c r="I166" s="20" t="s">
        <v>376</v>
      </c>
      <c r="J166" s="20">
        <v>4010</v>
      </c>
      <c r="K166" s="20" t="s">
        <v>838</v>
      </c>
      <c r="L166" s="20" t="s">
        <v>838</v>
      </c>
      <c r="M166" s="22">
        <v>0.50069444444444444</v>
      </c>
      <c r="N166" s="22">
        <v>0.53819444444444442</v>
      </c>
      <c r="O166" s="20">
        <v>30</v>
      </c>
      <c r="P166" s="20">
        <v>67</v>
      </c>
      <c r="Q166" s="20" t="s">
        <v>844</v>
      </c>
      <c r="R166" s="20">
        <v>100</v>
      </c>
      <c r="S166" s="20" t="s">
        <v>23</v>
      </c>
      <c r="T166" s="20" t="s">
        <v>24</v>
      </c>
      <c r="U166" s="20" t="s">
        <v>13</v>
      </c>
      <c r="V166" s="20" t="s">
        <v>14</v>
      </c>
      <c r="W166" s="20" t="s">
        <v>15</v>
      </c>
      <c r="X166" s="20">
        <v>3618</v>
      </c>
      <c r="Y166" s="20">
        <v>54</v>
      </c>
      <c r="Z166" s="20">
        <v>6.7780000000000002E-3</v>
      </c>
      <c r="AA166" s="20">
        <v>533754</v>
      </c>
      <c r="AB166" s="20">
        <v>6.7784035342123902E-3</v>
      </c>
      <c r="AC166" s="20">
        <v>2.7E-2</v>
      </c>
      <c r="AD166" s="20" t="s">
        <v>16</v>
      </c>
      <c r="AE166" s="20" t="s">
        <v>17</v>
      </c>
      <c r="AF166" s="20">
        <v>0</v>
      </c>
      <c r="AG166" s="20" t="s">
        <v>844</v>
      </c>
      <c r="AH166" s="20" t="s">
        <v>845</v>
      </c>
      <c r="AI166" s="20" t="s">
        <v>15</v>
      </c>
      <c r="AJ166" s="20">
        <v>-1</v>
      </c>
      <c r="AK166" s="20" t="s">
        <v>15</v>
      </c>
      <c r="AL166" s="20">
        <v>-1</v>
      </c>
      <c r="AM166" s="20" t="s">
        <v>846</v>
      </c>
      <c r="AN166">
        <v>164</v>
      </c>
    </row>
    <row r="167" spans="1:40" x14ac:dyDescent="0.25">
      <c r="A167" s="20" t="s">
        <v>7</v>
      </c>
      <c r="B167" s="21" t="s">
        <v>8</v>
      </c>
      <c r="C167" s="20" t="s">
        <v>9</v>
      </c>
      <c r="D167" s="21" t="s">
        <v>847</v>
      </c>
      <c r="E167" s="20">
        <v>2018</v>
      </c>
      <c r="F167" s="20">
        <v>5</v>
      </c>
      <c r="G167" s="20" t="s">
        <v>329</v>
      </c>
      <c r="H167" s="20" t="s">
        <v>10</v>
      </c>
      <c r="I167" s="20" t="s">
        <v>430</v>
      </c>
      <c r="J167" s="20">
        <v>4032</v>
      </c>
      <c r="K167" s="20" t="s">
        <v>838</v>
      </c>
      <c r="L167" s="20" t="s">
        <v>838</v>
      </c>
      <c r="M167" s="22">
        <v>0.53472222222222221</v>
      </c>
      <c r="N167" s="22">
        <v>0.68402777777777779</v>
      </c>
      <c r="O167" s="20">
        <v>32</v>
      </c>
      <c r="P167" s="20">
        <v>35</v>
      </c>
      <c r="Q167" s="20" t="s">
        <v>848</v>
      </c>
      <c r="R167" s="20">
        <v>100</v>
      </c>
      <c r="S167" s="20" t="s">
        <v>11</v>
      </c>
      <c r="T167" s="20" t="s">
        <v>12</v>
      </c>
      <c r="U167" s="20" t="s">
        <v>13</v>
      </c>
      <c r="V167" s="20" t="s">
        <v>14</v>
      </c>
      <c r="W167" s="20" t="s">
        <v>15</v>
      </c>
      <c r="X167" s="20">
        <v>7525</v>
      </c>
      <c r="Y167" s="20">
        <v>215</v>
      </c>
      <c r="Z167" s="20">
        <v>1.4097999999999999E-2</v>
      </c>
      <c r="AA167" s="20">
        <v>533754</v>
      </c>
      <c r="AB167" s="20">
        <v>1.4098255001367672E-2</v>
      </c>
      <c r="AC167" s="20">
        <v>0.115</v>
      </c>
      <c r="AD167" s="20" t="s">
        <v>16</v>
      </c>
      <c r="AE167" s="20" t="s">
        <v>17</v>
      </c>
      <c r="AF167" s="20">
        <v>0</v>
      </c>
      <c r="AG167" s="20" t="s">
        <v>848</v>
      </c>
      <c r="AH167" s="20" t="s">
        <v>849</v>
      </c>
      <c r="AI167" s="20" t="s">
        <v>15</v>
      </c>
      <c r="AJ167" s="20">
        <v>-1</v>
      </c>
      <c r="AK167" s="20" t="s">
        <v>15</v>
      </c>
      <c r="AL167" s="20">
        <v>-1</v>
      </c>
      <c r="AM167" s="20" t="s">
        <v>850</v>
      </c>
      <c r="AN167">
        <v>165</v>
      </c>
    </row>
    <row r="168" spans="1:40" x14ac:dyDescent="0.25">
      <c r="A168" s="20" t="s">
        <v>7</v>
      </c>
      <c r="B168" s="21" t="s">
        <v>8</v>
      </c>
      <c r="C168" s="20" t="s">
        <v>9</v>
      </c>
      <c r="D168" s="21" t="s">
        <v>851</v>
      </c>
      <c r="E168" s="20">
        <v>2018</v>
      </c>
      <c r="F168" s="20">
        <v>5</v>
      </c>
      <c r="G168" s="20" t="s">
        <v>342</v>
      </c>
      <c r="H168" s="20" t="s">
        <v>342</v>
      </c>
      <c r="I168" s="20" t="s">
        <v>393</v>
      </c>
      <c r="J168" s="20">
        <v>4020</v>
      </c>
      <c r="K168" s="20" t="s">
        <v>259</v>
      </c>
      <c r="L168" s="20" t="s">
        <v>259</v>
      </c>
      <c r="M168" s="22">
        <v>0.44097222222222227</v>
      </c>
      <c r="N168" s="22">
        <v>0.47986111111111113</v>
      </c>
      <c r="O168" s="20">
        <v>100</v>
      </c>
      <c r="P168" s="20">
        <v>80</v>
      </c>
      <c r="Q168" s="20" t="s">
        <v>852</v>
      </c>
      <c r="R168" s="20">
        <v>0</v>
      </c>
      <c r="S168" s="20" t="s">
        <v>11</v>
      </c>
      <c r="T168" s="20" t="s">
        <v>19</v>
      </c>
      <c r="U168" s="20" t="s">
        <v>13</v>
      </c>
      <c r="V168" s="20" t="s">
        <v>14</v>
      </c>
      <c r="W168" s="20" t="s">
        <v>15</v>
      </c>
      <c r="X168" s="20">
        <v>4480</v>
      </c>
      <c r="Y168" s="20">
        <v>56</v>
      </c>
      <c r="Z168" s="20">
        <v>8.3929999999999994E-3</v>
      </c>
      <c r="AA168" s="20">
        <v>533754</v>
      </c>
      <c r="AB168" s="20">
        <v>8.3933797217444744E-3</v>
      </c>
      <c r="AC168" s="20">
        <v>9.2999999999999999E-2</v>
      </c>
      <c r="AD168" s="20" t="s">
        <v>16</v>
      </c>
      <c r="AE168" s="20" t="s">
        <v>17</v>
      </c>
      <c r="AF168" s="20">
        <v>0</v>
      </c>
      <c r="AG168" s="20" t="s">
        <v>852</v>
      </c>
      <c r="AH168" s="20" t="s">
        <v>687</v>
      </c>
      <c r="AI168" s="20" t="s">
        <v>15</v>
      </c>
      <c r="AJ168" s="20">
        <v>-1</v>
      </c>
      <c r="AK168" s="20" t="s">
        <v>15</v>
      </c>
      <c r="AL168" s="20">
        <v>-1</v>
      </c>
      <c r="AM168" s="20" t="s">
        <v>18</v>
      </c>
      <c r="AN168">
        <v>166</v>
      </c>
    </row>
    <row r="169" spans="1:40" x14ac:dyDescent="0.25">
      <c r="A169" s="20" t="s">
        <v>7</v>
      </c>
      <c r="B169" s="21" t="s">
        <v>8</v>
      </c>
      <c r="C169" s="20" t="s">
        <v>9</v>
      </c>
      <c r="D169" s="21" t="s">
        <v>853</v>
      </c>
      <c r="E169" s="20">
        <v>2018</v>
      </c>
      <c r="F169" s="20">
        <v>5</v>
      </c>
      <c r="G169" s="20" t="s">
        <v>342</v>
      </c>
      <c r="H169" s="20" t="s">
        <v>342</v>
      </c>
      <c r="I169" s="20" t="s">
        <v>343</v>
      </c>
      <c r="J169" s="20">
        <v>4040</v>
      </c>
      <c r="K169" s="20" t="s">
        <v>259</v>
      </c>
      <c r="L169" s="20" t="s">
        <v>259</v>
      </c>
      <c r="M169" s="22">
        <v>5.6250000000000001E-2</v>
      </c>
      <c r="N169" s="22">
        <v>9.8611111111111108E-2</v>
      </c>
      <c r="O169" s="20">
        <v>115</v>
      </c>
      <c r="P169" s="20">
        <v>157</v>
      </c>
      <c r="Q169" s="20" t="s">
        <v>854</v>
      </c>
      <c r="R169" s="20">
        <v>0</v>
      </c>
      <c r="S169" s="20" t="s">
        <v>11</v>
      </c>
      <c r="T169" s="20" t="s">
        <v>12</v>
      </c>
      <c r="U169" s="20" t="s">
        <v>13</v>
      </c>
      <c r="V169" s="20" t="s">
        <v>14</v>
      </c>
      <c r="W169" s="20" t="s">
        <v>15</v>
      </c>
      <c r="X169" s="20">
        <v>9577</v>
      </c>
      <c r="Y169" s="20">
        <v>61</v>
      </c>
      <c r="Z169" s="20">
        <v>1.7943000000000001E-2</v>
      </c>
      <c r="AA169" s="20">
        <v>533754</v>
      </c>
      <c r="AB169" s="20">
        <v>1.7942722677488133E-2</v>
      </c>
      <c r="AC169" s="20">
        <v>0.11700000000000001</v>
      </c>
      <c r="AD169" s="20" t="s">
        <v>16</v>
      </c>
      <c r="AE169" s="20" t="s">
        <v>17</v>
      </c>
      <c r="AF169" s="20">
        <v>0</v>
      </c>
      <c r="AG169" s="20" t="s">
        <v>854</v>
      </c>
      <c r="AH169" s="20" t="s">
        <v>855</v>
      </c>
      <c r="AI169" s="20" t="s">
        <v>15</v>
      </c>
      <c r="AJ169" s="20">
        <v>-1</v>
      </c>
      <c r="AK169" s="20" t="s">
        <v>15</v>
      </c>
      <c r="AL169" s="20">
        <v>-1</v>
      </c>
      <c r="AM169" s="20" t="s">
        <v>856</v>
      </c>
      <c r="AN169">
        <v>167</v>
      </c>
    </row>
    <row r="170" spans="1:40" x14ac:dyDescent="0.25">
      <c r="A170" s="20" t="s">
        <v>7</v>
      </c>
      <c r="B170" s="21" t="s">
        <v>8</v>
      </c>
      <c r="C170" s="20" t="s">
        <v>9</v>
      </c>
      <c r="D170" s="21" t="s">
        <v>258</v>
      </c>
      <c r="E170" s="20">
        <v>2018</v>
      </c>
      <c r="F170" s="20">
        <v>5</v>
      </c>
      <c r="G170" s="20" t="s">
        <v>9</v>
      </c>
      <c r="H170" s="20" t="s">
        <v>10</v>
      </c>
      <c r="I170" s="20" t="s">
        <v>208</v>
      </c>
      <c r="J170" s="20">
        <v>4040</v>
      </c>
      <c r="K170" s="20" t="s">
        <v>259</v>
      </c>
      <c r="L170" s="20" t="s">
        <v>61</v>
      </c>
      <c r="M170" s="22">
        <v>0.78402777777777777</v>
      </c>
      <c r="N170" s="22">
        <v>0.63541666666666663</v>
      </c>
      <c r="O170" s="20">
        <v>11</v>
      </c>
      <c r="P170" s="20">
        <v>11</v>
      </c>
      <c r="Q170" s="20" t="s">
        <v>260</v>
      </c>
      <c r="R170" s="20">
        <v>100</v>
      </c>
      <c r="S170" s="20" t="s">
        <v>11</v>
      </c>
      <c r="T170" s="20" t="s">
        <v>56</v>
      </c>
      <c r="U170" s="20" t="s">
        <v>13</v>
      </c>
      <c r="V170" s="20" t="s">
        <v>14</v>
      </c>
      <c r="W170" s="20" t="s">
        <v>15</v>
      </c>
      <c r="X170" s="20">
        <v>13486</v>
      </c>
      <c r="Y170" s="20">
        <v>1226</v>
      </c>
      <c r="Z170" s="20">
        <v>2.5266E-2</v>
      </c>
      <c r="AA170" s="20">
        <v>533754</v>
      </c>
      <c r="AB170" s="20">
        <v>2.5266321189162048E-2</v>
      </c>
      <c r="AC170" s="20">
        <v>0.22500000000000001</v>
      </c>
      <c r="AD170" s="20" t="s">
        <v>16</v>
      </c>
      <c r="AE170" s="20" t="s">
        <v>17</v>
      </c>
      <c r="AF170" s="20">
        <v>0</v>
      </c>
      <c r="AG170" s="20" t="s">
        <v>260</v>
      </c>
      <c r="AH170" s="20" t="s">
        <v>261</v>
      </c>
      <c r="AI170" s="20" t="s">
        <v>15</v>
      </c>
      <c r="AJ170" s="20">
        <v>-1</v>
      </c>
      <c r="AK170" s="20" t="s">
        <v>15</v>
      </c>
      <c r="AL170" s="20">
        <v>-1</v>
      </c>
      <c r="AM170" s="20" t="s">
        <v>18</v>
      </c>
      <c r="AN170">
        <v>168</v>
      </c>
    </row>
    <row r="171" spans="1:40" x14ac:dyDescent="0.25">
      <c r="A171" s="20" t="s">
        <v>7</v>
      </c>
      <c r="B171" s="21" t="s">
        <v>8</v>
      </c>
      <c r="C171" s="20" t="s">
        <v>9</v>
      </c>
      <c r="D171" s="21" t="s">
        <v>857</v>
      </c>
      <c r="E171" s="20">
        <v>2018</v>
      </c>
      <c r="F171" s="20">
        <v>5</v>
      </c>
      <c r="G171" s="20" t="s">
        <v>323</v>
      </c>
      <c r="H171" s="20" t="s">
        <v>10</v>
      </c>
      <c r="I171" s="20" t="s">
        <v>381</v>
      </c>
      <c r="J171" s="20">
        <v>4040</v>
      </c>
      <c r="K171" s="20" t="s">
        <v>61</v>
      </c>
      <c r="L171" s="20" t="s">
        <v>61</v>
      </c>
      <c r="M171" s="22">
        <v>0.56111111111111112</v>
      </c>
      <c r="N171" s="22">
        <v>0.7319444444444444</v>
      </c>
      <c r="O171" s="20">
        <v>65</v>
      </c>
      <c r="P171" s="20">
        <v>75</v>
      </c>
      <c r="Q171" s="20" t="s">
        <v>858</v>
      </c>
      <c r="R171" s="20">
        <v>100</v>
      </c>
      <c r="S171" s="20" t="s">
        <v>11</v>
      </c>
      <c r="T171" s="20" t="s">
        <v>19</v>
      </c>
      <c r="U171" s="20" t="s">
        <v>13</v>
      </c>
      <c r="V171" s="20" t="s">
        <v>14</v>
      </c>
      <c r="W171" s="20" t="s">
        <v>15</v>
      </c>
      <c r="X171" s="20">
        <v>18450</v>
      </c>
      <c r="Y171" s="20">
        <v>246</v>
      </c>
      <c r="Z171" s="20">
        <v>3.4566E-2</v>
      </c>
      <c r="AA171" s="20">
        <v>533754</v>
      </c>
      <c r="AB171" s="20">
        <v>3.4566485684416413E-2</v>
      </c>
      <c r="AC171" s="20">
        <v>0.26700000000000002</v>
      </c>
      <c r="AD171" s="20" t="s">
        <v>16</v>
      </c>
      <c r="AE171" s="20" t="s">
        <v>17</v>
      </c>
      <c r="AF171" s="20">
        <v>0</v>
      </c>
      <c r="AG171" s="20" t="s">
        <v>858</v>
      </c>
      <c r="AH171" s="20" t="s">
        <v>859</v>
      </c>
      <c r="AI171" s="20" t="s">
        <v>15</v>
      </c>
      <c r="AJ171" s="20">
        <v>-1</v>
      </c>
      <c r="AK171" s="20" t="s">
        <v>15</v>
      </c>
      <c r="AL171" s="20">
        <v>-1</v>
      </c>
      <c r="AM171" s="20" t="s">
        <v>18</v>
      </c>
      <c r="AN171">
        <v>169</v>
      </c>
    </row>
    <row r="172" spans="1:40" x14ac:dyDescent="0.25">
      <c r="A172" s="20" t="s">
        <v>7</v>
      </c>
      <c r="B172" s="21" t="s">
        <v>8</v>
      </c>
      <c r="C172" s="20" t="s">
        <v>9</v>
      </c>
      <c r="D172" s="21" t="s">
        <v>860</v>
      </c>
      <c r="E172" s="20">
        <v>2018</v>
      </c>
      <c r="F172" s="20">
        <v>5</v>
      </c>
      <c r="G172" s="20" t="s">
        <v>329</v>
      </c>
      <c r="H172" s="20" t="s">
        <v>10</v>
      </c>
      <c r="I172" s="20" t="s">
        <v>376</v>
      </c>
      <c r="J172" s="20">
        <v>4010</v>
      </c>
      <c r="K172" s="20" t="s">
        <v>61</v>
      </c>
      <c r="L172" s="20" t="s">
        <v>61</v>
      </c>
      <c r="M172" s="22">
        <v>0.3611111111111111</v>
      </c>
      <c r="N172" s="22">
        <v>0.70416666666666661</v>
      </c>
      <c r="O172" s="20">
        <v>23</v>
      </c>
      <c r="P172" s="20">
        <v>34</v>
      </c>
      <c r="Q172" s="20" t="s">
        <v>701</v>
      </c>
      <c r="R172" s="20">
        <v>100</v>
      </c>
      <c r="S172" s="20" t="s">
        <v>11</v>
      </c>
      <c r="T172" s="20" t="s">
        <v>19</v>
      </c>
      <c r="U172" s="20" t="s">
        <v>13</v>
      </c>
      <c r="V172" s="20" t="s">
        <v>14</v>
      </c>
      <c r="W172" s="20" t="s">
        <v>15</v>
      </c>
      <c r="X172" s="20">
        <v>16796</v>
      </c>
      <c r="Y172" s="20">
        <v>494</v>
      </c>
      <c r="Z172" s="20">
        <v>3.1468000000000003E-2</v>
      </c>
      <c r="AA172" s="20">
        <v>533754</v>
      </c>
      <c r="AB172" s="20">
        <v>3.1467679867504504E-2</v>
      </c>
      <c r="AC172" s="20">
        <v>0.189</v>
      </c>
      <c r="AD172" s="20" t="s">
        <v>16</v>
      </c>
      <c r="AE172" s="20" t="s">
        <v>17</v>
      </c>
      <c r="AF172" s="20">
        <v>0</v>
      </c>
      <c r="AG172" s="20" t="s">
        <v>701</v>
      </c>
      <c r="AH172" s="20" t="s">
        <v>855</v>
      </c>
      <c r="AI172" s="20" t="s">
        <v>15</v>
      </c>
      <c r="AJ172" s="20">
        <v>-1</v>
      </c>
      <c r="AK172" s="20" t="s">
        <v>15</v>
      </c>
      <c r="AL172" s="20">
        <v>-1</v>
      </c>
      <c r="AM172" s="20" t="s">
        <v>861</v>
      </c>
      <c r="AN172">
        <v>170</v>
      </c>
    </row>
    <row r="173" spans="1:40" x14ac:dyDescent="0.25">
      <c r="A173" s="20" t="s">
        <v>7</v>
      </c>
      <c r="B173" s="21" t="s">
        <v>8</v>
      </c>
      <c r="C173" s="20" t="s">
        <v>9</v>
      </c>
      <c r="D173" s="21" t="s">
        <v>862</v>
      </c>
      <c r="E173" s="20">
        <v>2018</v>
      </c>
      <c r="F173" s="20">
        <v>5</v>
      </c>
      <c r="G173" s="20" t="s">
        <v>329</v>
      </c>
      <c r="H173" s="20" t="s">
        <v>10</v>
      </c>
      <c r="I173" s="20" t="s">
        <v>397</v>
      </c>
      <c r="J173" s="20">
        <v>4045</v>
      </c>
      <c r="K173" s="20" t="s">
        <v>61</v>
      </c>
      <c r="L173" s="20" t="s">
        <v>863</v>
      </c>
      <c r="M173" s="22">
        <v>0.66875000000000007</v>
      </c>
      <c r="N173" s="22">
        <v>0.4694444444444445</v>
      </c>
      <c r="O173" s="20">
        <v>27</v>
      </c>
      <c r="P173" s="20">
        <v>25</v>
      </c>
      <c r="Q173" s="20" t="s">
        <v>864</v>
      </c>
      <c r="R173" s="20">
        <v>100</v>
      </c>
      <c r="S173" s="20" t="s">
        <v>25</v>
      </c>
      <c r="T173" s="20" t="s">
        <v>26</v>
      </c>
      <c r="U173" s="20" t="s">
        <v>13</v>
      </c>
      <c r="V173" s="20" t="s">
        <v>14</v>
      </c>
      <c r="W173" s="20" t="s">
        <v>15</v>
      </c>
      <c r="X173" s="20">
        <v>28825</v>
      </c>
      <c r="Y173" s="20">
        <v>1153</v>
      </c>
      <c r="Z173" s="20">
        <v>5.4004000000000003E-2</v>
      </c>
      <c r="AA173" s="20">
        <v>533754</v>
      </c>
      <c r="AB173" s="20">
        <v>5.4004279124840279E-2</v>
      </c>
      <c r="AC173" s="20">
        <v>0.51900000000000002</v>
      </c>
      <c r="AD173" s="20" t="s">
        <v>16</v>
      </c>
      <c r="AE173" s="20" t="s">
        <v>17</v>
      </c>
      <c r="AF173" s="20">
        <v>0</v>
      </c>
      <c r="AG173" s="20" t="s">
        <v>864</v>
      </c>
      <c r="AH173" s="20" t="s">
        <v>508</v>
      </c>
      <c r="AI173" s="20" t="s">
        <v>15</v>
      </c>
      <c r="AJ173" s="20">
        <v>-1</v>
      </c>
      <c r="AK173" s="20" t="s">
        <v>15</v>
      </c>
      <c r="AL173" s="20">
        <v>-1</v>
      </c>
      <c r="AM173" s="20" t="s">
        <v>865</v>
      </c>
      <c r="AN173">
        <v>171</v>
      </c>
    </row>
    <row r="174" spans="1:40" x14ac:dyDescent="0.25">
      <c r="A174" s="20" t="s">
        <v>7</v>
      </c>
      <c r="B174" s="21" t="s">
        <v>8</v>
      </c>
      <c r="C174" s="20" t="s">
        <v>9</v>
      </c>
      <c r="D174" s="21" t="s">
        <v>866</v>
      </c>
      <c r="E174" s="20">
        <v>2018</v>
      </c>
      <c r="F174" s="20">
        <v>5</v>
      </c>
      <c r="G174" s="20" t="s">
        <v>329</v>
      </c>
      <c r="H174" s="20" t="s">
        <v>10</v>
      </c>
      <c r="I174" s="20" t="s">
        <v>376</v>
      </c>
      <c r="J174" s="20">
        <v>5010</v>
      </c>
      <c r="K174" s="20" t="s">
        <v>863</v>
      </c>
      <c r="L174" s="20" t="s">
        <v>863</v>
      </c>
      <c r="M174" s="22">
        <v>0.52569444444444446</v>
      </c>
      <c r="N174" s="22">
        <v>0.69166666666666676</v>
      </c>
      <c r="O174" s="20">
        <v>126</v>
      </c>
      <c r="P174" s="20">
        <v>118</v>
      </c>
      <c r="Q174" s="20" t="s">
        <v>867</v>
      </c>
      <c r="R174" s="20">
        <v>100</v>
      </c>
      <c r="S174" s="20" t="s">
        <v>25</v>
      </c>
      <c r="T174" s="20" t="s">
        <v>26</v>
      </c>
      <c r="U174" s="20" t="s">
        <v>13</v>
      </c>
      <c r="V174" s="20" t="s">
        <v>14</v>
      </c>
      <c r="W174" s="20" t="s">
        <v>15</v>
      </c>
      <c r="X174" s="20">
        <v>28202</v>
      </c>
      <c r="Y174" s="20">
        <v>239</v>
      </c>
      <c r="Z174" s="20">
        <v>5.2837000000000002E-2</v>
      </c>
      <c r="AA174" s="20">
        <v>533754</v>
      </c>
      <c r="AB174" s="20">
        <v>5.2837074757285191E-2</v>
      </c>
      <c r="AC174" s="20">
        <v>0.502</v>
      </c>
      <c r="AD174" s="20" t="s">
        <v>16</v>
      </c>
      <c r="AE174" s="20" t="s">
        <v>17</v>
      </c>
      <c r="AF174" s="20">
        <v>0</v>
      </c>
      <c r="AG174" s="20" t="s">
        <v>867</v>
      </c>
      <c r="AH174" s="20" t="s">
        <v>611</v>
      </c>
      <c r="AI174" s="20" t="s">
        <v>15</v>
      </c>
      <c r="AJ174" s="20">
        <v>-1</v>
      </c>
      <c r="AK174" s="20" t="s">
        <v>15</v>
      </c>
      <c r="AL174" s="20">
        <v>-1</v>
      </c>
      <c r="AM174" s="20" t="s">
        <v>868</v>
      </c>
      <c r="AN174">
        <v>172</v>
      </c>
    </row>
    <row r="175" spans="1:40" x14ac:dyDescent="0.25">
      <c r="A175" s="20" t="s">
        <v>7</v>
      </c>
      <c r="B175" s="21" t="s">
        <v>8</v>
      </c>
      <c r="C175" s="20" t="s">
        <v>9</v>
      </c>
      <c r="D175" s="21" t="s">
        <v>869</v>
      </c>
      <c r="E175" s="20">
        <v>2018</v>
      </c>
      <c r="F175" s="20">
        <v>5</v>
      </c>
      <c r="G175" s="20" t="s">
        <v>342</v>
      </c>
      <c r="H175" s="20" t="s">
        <v>342</v>
      </c>
      <c r="I175" s="20" t="s">
        <v>366</v>
      </c>
      <c r="J175" s="20">
        <v>4070</v>
      </c>
      <c r="K175" s="20" t="s">
        <v>863</v>
      </c>
      <c r="L175" s="20" t="s">
        <v>863</v>
      </c>
      <c r="M175" s="22">
        <v>0.35833333333333334</v>
      </c>
      <c r="N175" s="22">
        <v>0.52222222222222225</v>
      </c>
      <c r="O175" s="20">
        <v>65</v>
      </c>
      <c r="P175" s="20">
        <v>59</v>
      </c>
      <c r="Q175" s="20" t="s">
        <v>529</v>
      </c>
      <c r="R175" s="20">
        <v>0</v>
      </c>
      <c r="S175" s="20" t="s">
        <v>11</v>
      </c>
      <c r="T175" s="20" t="s">
        <v>19</v>
      </c>
      <c r="U175" s="20" t="s">
        <v>13</v>
      </c>
      <c r="V175" s="20" t="s">
        <v>14</v>
      </c>
      <c r="W175" s="20" t="s">
        <v>15</v>
      </c>
      <c r="X175" s="20">
        <v>13924</v>
      </c>
      <c r="Y175" s="20">
        <v>236</v>
      </c>
      <c r="Z175" s="20">
        <v>2.6086999999999999E-2</v>
      </c>
      <c r="AA175" s="20">
        <v>533754</v>
      </c>
      <c r="AB175" s="20">
        <v>2.6086923938743317E-2</v>
      </c>
      <c r="AC175" s="20">
        <v>0.25600000000000001</v>
      </c>
      <c r="AD175" s="20" t="s">
        <v>16</v>
      </c>
      <c r="AE175" s="20" t="s">
        <v>17</v>
      </c>
      <c r="AF175" s="20">
        <v>0</v>
      </c>
      <c r="AG175" s="20" t="s">
        <v>529</v>
      </c>
      <c r="AH175" s="20" t="s">
        <v>386</v>
      </c>
      <c r="AI175" s="20" t="s">
        <v>15</v>
      </c>
      <c r="AJ175" s="20">
        <v>-1</v>
      </c>
      <c r="AK175" s="20" t="s">
        <v>15</v>
      </c>
      <c r="AL175" s="20">
        <v>-1</v>
      </c>
      <c r="AM175" s="20" t="s">
        <v>870</v>
      </c>
      <c r="AN175">
        <v>173</v>
      </c>
    </row>
    <row r="176" spans="1:40" x14ac:dyDescent="0.25">
      <c r="A176" s="20" t="s">
        <v>7</v>
      </c>
      <c r="B176" s="21" t="s">
        <v>8</v>
      </c>
      <c r="C176" s="20" t="s">
        <v>9</v>
      </c>
      <c r="D176" s="21" t="s">
        <v>871</v>
      </c>
      <c r="E176" s="20">
        <v>2018</v>
      </c>
      <c r="F176" s="20">
        <v>5</v>
      </c>
      <c r="G176" s="20" t="s">
        <v>329</v>
      </c>
      <c r="H176" s="20" t="s">
        <v>10</v>
      </c>
      <c r="I176" s="20" t="s">
        <v>397</v>
      </c>
      <c r="J176" s="20">
        <v>4045</v>
      </c>
      <c r="K176" s="20" t="s">
        <v>863</v>
      </c>
      <c r="L176" s="20" t="s">
        <v>863</v>
      </c>
      <c r="M176" s="22">
        <v>0.39305555555555555</v>
      </c>
      <c r="N176" s="22">
        <v>0.53819444444444442</v>
      </c>
      <c r="O176" s="20">
        <v>27</v>
      </c>
      <c r="P176" s="20">
        <v>25</v>
      </c>
      <c r="Q176" s="20" t="s">
        <v>872</v>
      </c>
      <c r="R176" s="20">
        <v>100</v>
      </c>
      <c r="S176" s="20" t="s">
        <v>23</v>
      </c>
      <c r="T176" s="20" t="s">
        <v>24</v>
      </c>
      <c r="U176" s="20" t="s">
        <v>13</v>
      </c>
      <c r="V176" s="20" t="s">
        <v>14</v>
      </c>
      <c r="W176" s="20" t="s">
        <v>15</v>
      </c>
      <c r="X176" s="20">
        <v>5225</v>
      </c>
      <c r="Y176" s="20">
        <v>209</v>
      </c>
      <c r="Z176" s="20">
        <v>9.7890000000000008E-3</v>
      </c>
      <c r="AA176" s="20">
        <v>533754</v>
      </c>
      <c r="AB176" s="20">
        <v>9.7891538049363572E-3</v>
      </c>
      <c r="AC176" s="20">
        <v>9.4E-2</v>
      </c>
      <c r="AD176" s="20" t="s">
        <v>16</v>
      </c>
      <c r="AE176" s="20" t="s">
        <v>17</v>
      </c>
      <c r="AF176" s="20">
        <v>0</v>
      </c>
      <c r="AG176" s="20" t="s">
        <v>872</v>
      </c>
      <c r="AH176" s="20" t="s">
        <v>508</v>
      </c>
      <c r="AI176" s="20" t="s">
        <v>15</v>
      </c>
      <c r="AJ176" s="20">
        <v>-1</v>
      </c>
      <c r="AK176" s="20" t="s">
        <v>15</v>
      </c>
      <c r="AL176" s="20">
        <v>-1</v>
      </c>
      <c r="AM176" s="20" t="s">
        <v>873</v>
      </c>
      <c r="AN176">
        <v>174</v>
      </c>
    </row>
    <row r="177" spans="1:40" x14ac:dyDescent="0.25">
      <c r="A177" s="20" t="s">
        <v>7</v>
      </c>
      <c r="B177" s="21" t="s">
        <v>8</v>
      </c>
      <c r="C177" s="20" t="s">
        <v>9</v>
      </c>
      <c r="D177" s="21" t="s">
        <v>874</v>
      </c>
      <c r="E177" s="20">
        <v>2018</v>
      </c>
      <c r="F177" s="20">
        <v>5</v>
      </c>
      <c r="G177" s="20" t="s">
        <v>329</v>
      </c>
      <c r="H177" s="20" t="s">
        <v>10</v>
      </c>
      <c r="I177" s="20" t="s">
        <v>366</v>
      </c>
      <c r="J177" s="20">
        <v>4090</v>
      </c>
      <c r="K177" s="20" t="s">
        <v>863</v>
      </c>
      <c r="L177" s="20" t="s">
        <v>62</v>
      </c>
      <c r="M177" s="22">
        <v>0.6875</v>
      </c>
      <c r="N177" s="22">
        <v>0.45833333333333331</v>
      </c>
      <c r="O177" s="20">
        <v>90</v>
      </c>
      <c r="P177" s="20">
        <v>49</v>
      </c>
      <c r="Q177" s="20" t="s">
        <v>875</v>
      </c>
      <c r="R177" s="20">
        <v>100</v>
      </c>
      <c r="S177" s="20" t="s">
        <v>11</v>
      </c>
      <c r="T177" s="20" t="s">
        <v>19</v>
      </c>
      <c r="U177" s="20" t="s">
        <v>13</v>
      </c>
      <c r="V177" s="20" t="s">
        <v>14</v>
      </c>
      <c r="W177" s="20" t="s">
        <v>15</v>
      </c>
      <c r="X177" s="20">
        <v>54390</v>
      </c>
      <c r="Y177" s="20">
        <v>1110</v>
      </c>
      <c r="Z177" s="20">
        <v>0.10190100000000001</v>
      </c>
      <c r="AA177" s="20">
        <v>533754</v>
      </c>
      <c r="AB177" s="20">
        <v>0.101900875684304</v>
      </c>
      <c r="AC177" s="20">
        <v>1.665</v>
      </c>
      <c r="AD177" s="20" t="s">
        <v>16</v>
      </c>
      <c r="AE177" s="20" t="s">
        <v>17</v>
      </c>
      <c r="AF177" s="20">
        <v>0</v>
      </c>
      <c r="AG177" s="20" t="s">
        <v>875</v>
      </c>
      <c r="AH177" s="20" t="s">
        <v>339</v>
      </c>
      <c r="AI177" s="20" t="s">
        <v>15</v>
      </c>
      <c r="AJ177" s="20">
        <v>-1</v>
      </c>
      <c r="AK177" s="20" t="s">
        <v>15</v>
      </c>
      <c r="AL177" s="20">
        <v>-1</v>
      </c>
      <c r="AM177" s="20" t="s">
        <v>876</v>
      </c>
      <c r="AN177">
        <v>175</v>
      </c>
    </row>
    <row r="178" spans="1:40" x14ac:dyDescent="0.25">
      <c r="A178" s="20" t="s">
        <v>7</v>
      </c>
      <c r="B178" s="21" t="s">
        <v>8</v>
      </c>
      <c r="C178" s="20" t="s">
        <v>9</v>
      </c>
      <c r="D178" s="21" t="s">
        <v>877</v>
      </c>
      <c r="E178" s="20">
        <v>2018</v>
      </c>
      <c r="F178" s="20">
        <v>5</v>
      </c>
      <c r="G178" s="20" t="s">
        <v>329</v>
      </c>
      <c r="H178" s="20" t="s">
        <v>10</v>
      </c>
      <c r="I178" s="20" t="s">
        <v>352</v>
      </c>
      <c r="J178" s="20">
        <v>4010</v>
      </c>
      <c r="K178" s="20" t="s">
        <v>863</v>
      </c>
      <c r="L178" s="20" t="s">
        <v>62</v>
      </c>
      <c r="M178" s="22">
        <v>0.37847222222222227</v>
      </c>
      <c r="N178" s="22">
        <v>6.9444444444444447E-4</v>
      </c>
      <c r="O178" s="20">
        <v>15</v>
      </c>
      <c r="P178" s="20">
        <v>13</v>
      </c>
      <c r="Q178" s="20" t="s">
        <v>560</v>
      </c>
      <c r="R178" s="20">
        <v>100</v>
      </c>
      <c r="S178" s="20" t="s">
        <v>11</v>
      </c>
      <c r="T178" s="20" t="s">
        <v>56</v>
      </c>
      <c r="U178" s="20" t="s">
        <v>13</v>
      </c>
      <c r="V178" s="20" t="s">
        <v>14</v>
      </c>
      <c r="W178" s="20" t="s">
        <v>15</v>
      </c>
      <c r="X178" s="20">
        <v>11648</v>
      </c>
      <c r="Y178" s="20">
        <v>896</v>
      </c>
      <c r="Z178" s="20">
        <v>2.1822999999999999E-2</v>
      </c>
      <c r="AA178" s="20">
        <v>533754</v>
      </c>
      <c r="AB178" s="20">
        <v>2.1822787276535631E-2</v>
      </c>
      <c r="AC178" s="20">
        <v>0.224</v>
      </c>
      <c r="AD178" s="20" t="s">
        <v>16</v>
      </c>
      <c r="AE178" s="20" t="s">
        <v>17</v>
      </c>
      <c r="AF178" s="20">
        <v>0</v>
      </c>
      <c r="AG178" s="20" t="s">
        <v>560</v>
      </c>
      <c r="AH178" s="20" t="s">
        <v>339</v>
      </c>
      <c r="AI178" s="20" t="s">
        <v>15</v>
      </c>
      <c r="AJ178" s="20">
        <v>-1</v>
      </c>
      <c r="AK178" s="20" t="s">
        <v>15</v>
      </c>
      <c r="AL178" s="20">
        <v>-1</v>
      </c>
      <c r="AM178" s="20" t="s">
        <v>18</v>
      </c>
      <c r="AN178">
        <v>176</v>
      </c>
    </row>
    <row r="179" spans="1:40" x14ac:dyDescent="0.25">
      <c r="A179" s="20" t="s">
        <v>7</v>
      </c>
      <c r="B179" s="21" t="s">
        <v>8</v>
      </c>
      <c r="C179" s="20" t="s">
        <v>9</v>
      </c>
      <c r="D179" s="21" t="s">
        <v>878</v>
      </c>
      <c r="E179" s="20">
        <v>2018</v>
      </c>
      <c r="F179" s="20">
        <v>5</v>
      </c>
      <c r="G179" s="20" t="s">
        <v>329</v>
      </c>
      <c r="H179" s="20" t="s">
        <v>10</v>
      </c>
      <c r="I179" s="20" t="s">
        <v>330</v>
      </c>
      <c r="J179" s="20">
        <v>4030</v>
      </c>
      <c r="K179" s="20" t="s">
        <v>863</v>
      </c>
      <c r="L179" s="20" t="s">
        <v>863</v>
      </c>
      <c r="M179" s="22">
        <v>0.40763888888888888</v>
      </c>
      <c r="N179" s="22">
        <v>0.79166666666666663</v>
      </c>
      <c r="O179" s="20">
        <v>11</v>
      </c>
      <c r="P179" s="20">
        <v>11</v>
      </c>
      <c r="Q179" s="20" t="s">
        <v>879</v>
      </c>
      <c r="R179" s="20">
        <v>100</v>
      </c>
      <c r="S179" s="20" t="s">
        <v>25</v>
      </c>
      <c r="T179" s="20" t="s">
        <v>26</v>
      </c>
      <c r="U179" s="20" t="s">
        <v>13</v>
      </c>
      <c r="V179" s="20" t="s">
        <v>14</v>
      </c>
      <c r="W179" s="20" t="s">
        <v>15</v>
      </c>
      <c r="X179" s="20">
        <v>6083</v>
      </c>
      <c r="Y179" s="20">
        <v>553</v>
      </c>
      <c r="Z179" s="20">
        <v>1.1396999999999999E-2</v>
      </c>
      <c r="AA179" s="20">
        <v>533754</v>
      </c>
      <c r="AB179" s="20">
        <v>1.1396635903431169E-2</v>
      </c>
      <c r="AC179" s="20">
        <v>0.10100000000000001</v>
      </c>
      <c r="AD179" s="20" t="s">
        <v>16</v>
      </c>
      <c r="AE179" s="20" t="s">
        <v>17</v>
      </c>
      <c r="AF179" s="20">
        <v>0</v>
      </c>
      <c r="AG179" s="20" t="s">
        <v>879</v>
      </c>
      <c r="AH179" s="20" t="s">
        <v>339</v>
      </c>
      <c r="AI179" s="20" t="s">
        <v>15</v>
      </c>
      <c r="AJ179" s="20">
        <v>-1</v>
      </c>
      <c r="AK179" s="20" t="s">
        <v>15</v>
      </c>
      <c r="AL179" s="20">
        <v>-1</v>
      </c>
      <c r="AM179" s="20" t="s">
        <v>880</v>
      </c>
      <c r="AN179">
        <v>177</v>
      </c>
    </row>
    <row r="180" spans="1:40" x14ac:dyDescent="0.25">
      <c r="A180" s="20" t="s">
        <v>7</v>
      </c>
      <c r="B180" s="21" t="s">
        <v>8</v>
      </c>
      <c r="C180" s="20" t="s">
        <v>9</v>
      </c>
      <c r="D180" s="21" t="s">
        <v>881</v>
      </c>
      <c r="E180" s="20">
        <v>2018</v>
      </c>
      <c r="F180" s="20">
        <v>5</v>
      </c>
      <c r="G180" s="20" t="s">
        <v>329</v>
      </c>
      <c r="H180" s="20" t="s">
        <v>10</v>
      </c>
      <c r="I180" s="20" t="s">
        <v>330</v>
      </c>
      <c r="J180" s="20">
        <v>4030</v>
      </c>
      <c r="K180" s="20" t="s">
        <v>62</v>
      </c>
      <c r="L180" s="20" t="s">
        <v>62</v>
      </c>
      <c r="M180" s="22">
        <v>0.4375</v>
      </c>
      <c r="N180" s="22">
        <v>0.54166666666666663</v>
      </c>
      <c r="O180" s="20">
        <v>28</v>
      </c>
      <c r="P180" s="20">
        <v>29</v>
      </c>
      <c r="Q180" s="20" t="s">
        <v>882</v>
      </c>
      <c r="R180" s="20">
        <v>100</v>
      </c>
      <c r="S180" s="20" t="s">
        <v>11</v>
      </c>
      <c r="T180" s="20" t="s">
        <v>19</v>
      </c>
      <c r="U180" s="20" t="s">
        <v>13</v>
      </c>
      <c r="V180" s="20" t="s">
        <v>14</v>
      </c>
      <c r="W180" s="20" t="s">
        <v>15</v>
      </c>
      <c r="X180" s="20">
        <v>4350</v>
      </c>
      <c r="Y180" s="20">
        <v>150</v>
      </c>
      <c r="Z180" s="20">
        <v>8.1499999999999993E-3</v>
      </c>
      <c r="AA180" s="20">
        <v>533754</v>
      </c>
      <c r="AB180" s="20">
        <v>8.1498218280331384E-3</v>
      </c>
      <c r="AC180" s="20">
        <v>7.0000000000000007E-2</v>
      </c>
      <c r="AD180" s="20" t="s">
        <v>16</v>
      </c>
      <c r="AE180" s="20" t="s">
        <v>17</v>
      </c>
      <c r="AF180" s="20">
        <v>0</v>
      </c>
      <c r="AG180" s="20" t="s">
        <v>882</v>
      </c>
      <c r="AH180" s="20" t="s">
        <v>508</v>
      </c>
      <c r="AI180" s="20" t="s">
        <v>15</v>
      </c>
      <c r="AJ180" s="20">
        <v>-1</v>
      </c>
      <c r="AK180" s="20" t="s">
        <v>15</v>
      </c>
      <c r="AL180" s="20">
        <v>-1</v>
      </c>
      <c r="AM180" s="20" t="s">
        <v>883</v>
      </c>
      <c r="AN180">
        <v>178</v>
      </c>
    </row>
    <row r="181" spans="1:40" x14ac:dyDescent="0.25">
      <c r="A181" s="20" t="s">
        <v>7</v>
      </c>
      <c r="B181" s="21" t="s">
        <v>8</v>
      </c>
      <c r="C181" s="20" t="s">
        <v>9</v>
      </c>
      <c r="D181" s="21" t="s">
        <v>262</v>
      </c>
      <c r="E181" s="20">
        <v>2018</v>
      </c>
      <c r="F181" s="20">
        <v>5</v>
      </c>
      <c r="G181" s="20" t="s">
        <v>9</v>
      </c>
      <c r="H181" s="20" t="s">
        <v>10</v>
      </c>
      <c r="I181" s="20" t="s">
        <v>187</v>
      </c>
      <c r="J181" s="20">
        <v>4012</v>
      </c>
      <c r="K181" s="20" t="s">
        <v>62</v>
      </c>
      <c r="L181" s="20" t="s">
        <v>263</v>
      </c>
      <c r="M181" s="22">
        <v>0.7006944444444444</v>
      </c>
      <c r="N181" s="22">
        <v>0.64583333333333337</v>
      </c>
      <c r="O181" s="20">
        <v>171</v>
      </c>
      <c r="P181" s="20">
        <v>31</v>
      </c>
      <c r="Q181" s="20" t="s">
        <v>264</v>
      </c>
      <c r="R181" s="20">
        <v>100</v>
      </c>
      <c r="S181" s="20" t="s">
        <v>53</v>
      </c>
      <c r="T181" s="20" t="s">
        <v>19</v>
      </c>
      <c r="U181" s="20" t="s">
        <v>13</v>
      </c>
      <c r="V181" s="20" t="s">
        <v>14</v>
      </c>
      <c r="W181" s="20" t="s">
        <v>15</v>
      </c>
      <c r="X181" s="20">
        <v>42191</v>
      </c>
      <c r="Y181" s="20">
        <v>1361</v>
      </c>
      <c r="Z181" s="20">
        <v>7.9046000000000005E-2</v>
      </c>
      <c r="AA181" s="20">
        <v>533754</v>
      </c>
      <c r="AB181" s="20">
        <v>7.9045777642884174E-2</v>
      </c>
      <c r="AC181" s="20">
        <v>3.879</v>
      </c>
      <c r="AD181" s="20" t="s">
        <v>16</v>
      </c>
      <c r="AE181" s="20" t="s">
        <v>17</v>
      </c>
      <c r="AF181" s="20">
        <v>0</v>
      </c>
      <c r="AG181" s="20" t="s">
        <v>264</v>
      </c>
      <c r="AH181" s="20" t="s">
        <v>188</v>
      </c>
      <c r="AI181" s="20" t="s">
        <v>15</v>
      </c>
      <c r="AJ181" s="20">
        <v>-1</v>
      </c>
      <c r="AK181" s="20" t="s">
        <v>15</v>
      </c>
      <c r="AL181" s="20">
        <v>-1</v>
      </c>
      <c r="AM181" s="20" t="s">
        <v>18</v>
      </c>
      <c r="AN181">
        <v>179</v>
      </c>
    </row>
    <row r="182" spans="1:40" x14ac:dyDescent="0.25">
      <c r="A182" s="20" t="s">
        <v>7</v>
      </c>
      <c r="B182" s="21" t="s">
        <v>8</v>
      </c>
      <c r="C182" s="20" t="s">
        <v>9</v>
      </c>
      <c r="D182" s="21" t="s">
        <v>884</v>
      </c>
      <c r="E182" s="20">
        <v>2018</v>
      </c>
      <c r="F182" s="20">
        <v>5</v>
      </c>
      <c r="G182" s="20" t="s">
        <v>323</v>
      </c>
      <c r="H182" s="20" t="s">
        <v>10</v>
      </c>
      <c r="I182" s="20" t="s">
        <v>324</v>
      </c>
      <c r="J182" s="20">
        <v>4050</v>
      </c>
      <c r="K182" s="20" t="s">
        <v>62</v>
      </c>
      <c r="L182" s="20" t="s">
        <v>62</v>
      </c>
      <c r="M182" s="22">
        <v>0.86805555555555547</v>
      </c>
      <c r="N182" s="22">
        <v>0.94652777777777775</v>
      </c>
      <c r="O182" s="20">
        <v>22</v>
      </c>
      <c r="P182" s="20">
        <v>125</v>
      </c>
      <c r="Q182" s="20" t="s">
        <v>885</v>
      </c>
      <c r="R182" s="20">
        <v>100</v>
      </c>
      <c r="S182" s="20" t="s">
        <v>11</v>
      </c>
      <c r="T182" s="20" t="s">
        <v>27</v>
      </c>
      <c r="U182" s="20" t="s">
        <v>13</v>
      </c>
      <c r="V182" s="20" t="s">
        <v>14</v>
      </c>
      <c r="W182" s="20" t="s">
        <v>15</v>
      </c>
      <c r="X182" s="20">
        <v>14125</v>
      </c>
      <c r="Y182" s="20">
        <v>113</v>
      </c>
      <c r="Z182" s="20">
        <v>2.6464000000000001E-2</v>
      </c>
      <c r="AA182" s="20">
        <v>533754</v>
      </c>
      <c r="AB182" s="20">
        <v>2.6463501912866227E-2</v>
      </c>
      <c r="AC182" s="20">
        <v>4.1000000000000002E-2</v>
      </c>
      <c r="AD182" s="20" t="s">
        <v>16</v>
      </c>
      <c r="AE182" s="20" t="s">
        <v>17</v>
      </c>
      <c r="AF182" s="20">
        <v>0</v>
      </c>
      <c r="AG182" s="20" t="s">
        <v>885</v>
      </c>
      <c r="AH182" s="20" t="s">
        <v>607</v>
      </c>
      <c r="AI182" s="20" t="s">
        <v>15</v>
      </c>
      <c r="AJ182" s="20">
        <v>-1</v>
      </c>
      <c r="AK182" s="20" t="s">
        <v>15</v>
      </c>
      <c r="AL182" s="20">
        <v>-1</v>
      </c>
      <c r="AM182" s="20" t="s">
        <v>18</v>
      </c>
      <c r="AN182">
        <v>180</v>
      </c>
    </row>
    <row r="183" spans="1:40" x14ac:dyDescent="0.25">
      <c r="A183" s="20" t="s">
        <v>7</v>
      </c>
      <c r="B183" s="21" t="s">
        <v>8</v>
      </c>
      <c r="C183" s="20" t="s">
        <v>9</v>
      </c>
      <c r="D183" s="21" t="s">
        <v>265</v>
      </c>
      <c r="E183" s="20">
        <v>2018</v>
      </c>
      <c r="F183" s="20">
        <v>5</v>
      </c>
      <c r="G183" s="20" t="s">
        <v>9</v>
      </c>
      <c r="H183" s="20" t="s">
        <v>10</v>
      </c>
      <c r="I183" s="20" t="s">
        <v>208</v>
      </c>
      <c r="J183" s="20">
        <v>4040</v>
      </c>
      <c r="K183" s="20" t="s">
        <v>62</v>
      </c>
      <c r="L183" s="20" t="s">
        <v>62</v>
      </c>
      <c r="M183" s="22">
        <v>0.41180555555555554</v>
      </c>
      <c r="N183" s="22">
        <v>0.54513888888888895</v>
      </c>
      <c r="O183" s="20">
        <v>41</v>
      </c>
      <c r="P183" s="20">
        <v>43</v>
      </c>
      <c r="Q183" s="20" t="s">
        <v>266</v>
      </c>
      <c r="R183" s="20">
        <v>100</v>
      </c>
      <c r="S183" s="20" t="s">
        <v>11</v>
      </c>
      <c r="T183" s="20" t="s">
        <v>63</v>
      </c>
      <c r="U183" s="20" t="s">
        <v>13</v>
      </c>
      <c r="V183" s="20" t="s">
        <v>14</v>
      </c>
      <c r="W183" s="20" t="s">
        <v>15</v>
      </c>
      <c r="X183" s="20">
        <v>8256</v>
      </c>
      <c r="Y183" s="20">
        <v>192</v>
      </c>
      <c r="Z183" s="20">
        <v>1.5468000000000001E-2</v>
      </c>
      <c r="AA183" s="20">
        <v>533754</v>
      </c>
      <c r="AB183" s="20">
        <v>1.5467799772929102E-2</v>
      </c>
      <c r="AC183" s="20">
        <v>0.13100000000000001</v>
      </c>
      <c r="AD183" s="20" t="s">
        <v>16</v>
      </c>
      <c r="AE183" s="20" t="s">
        <v>17</v>
      </c>
      <c r="AF183" s="20">
        <v>0</v>
      </c>
      <c r="AG183" s="20" t="s">
        <v>266</v>
      </c>
      <c r="AH183" s="20" t="s">
        <v>267</v>
      </c>
      <c r="AI183" s="20" t="s">
        <v>15</v>
      </c>
      <c r="AJ183" s="20">
        <v>-1</v>
      </c>
      <c r="AK183" s="20" t="s">
        <v>15</v>
      </c>
      <c r="AL183" s="20">
        <v>-1</v>
      </c>
      <c r="AM183" s="20" t="s">
        <v>268</v>
      </c>
      <c r="AN183">
        <v>181</v>
      </c>
    </row>
    <row r="184" spans="1:40" x14ac:dyDescent="0.25">
      <c r="A184" s="20" t="s">
        <v>7</v>
      </c>
      <c r="B184" s="21" t="s">
        <v>8</v>
      </c>
      <c r="C184" s="20" t="s">
        <v>9</v>
      </c>
      <c r="D184" s="21" t="s">
        <v>886</v>
      </c>
      <c r="E184" s="20">
        <v>2018</v>
      </c>
      <c r="F184" s="20">
        <v>5</v>
      </c>
      <c r="G184" s="20" t="s">
        <v>342</v>
      </c>
      <c r="H184" s="20" t="s">
        <v>342</v>
      </c>
      <c r="I184" s="20" t="s">
        <v>361</v>
      </c>
      <c r="J184" s="20">
        <v>4050</v>
      </c>
      <c r="K184" s="20" t="s">
        <v>62</v>
      </c>
      <c r="L184" s="20" t="s">
        <v>62</v>
      </c>
      <c r="M184" s="22">
        <v>0.625</v>
      </c>
      <c r="N184" s="22">
        <v>0.71458333333333324</v>
      </c>
      <c r="O184" s="20">
        <v>90</v>
      </c>
      <c r="P184" s="20">
        <v>105</v>
      </c>
      <c r="Q184" s="20" t="s">
        <v>478</v>
      </c>
      <c r="R184" s="20">
        <v>0</v>
      </c>
      <c r="S184" s="20" t="s">
        <v>11</v>
      </c>
      <c r="T184" s="20" t="s">
        <v>19</v>
      </c>
      <c r="U184" s="20" t="s">
        <v>13</v>
      </c>
      <c r="V184" s="20" t="s">
        <v>14</v>
      </c>
      <c r="W184" s="20" t="s">
        <v>15</v>
      </c>
      <c r="X184" s="20">
        <v>13545</v>
      </c>
      <c r="Y184" s="20">
        <v>129</v>
      </c>
      <c r="Z184" s="20">
        <v>2.5377E-2</v>
      </c>
      <c r="AA184" s="20">
        <v>533754</v>
      </c>
      <c r="AB184" s="20">
        <v>2.5376859002461807E-2</v>
      </c>
      <c r="AC184" s="20">
        <v>0.19400000000000001</v>
      </c>
      <c r="AD184" s="20" t="s">
        <v>16</v>
      </c>
      <c r="AE184" s="20" t="s">
        <v>17</v>
      </c>
      <c r="AF184" s="20">
        <v>0</v>
      </c>
      <c r="AG184" s="20" t="s">
        <v>478</v>
      </c>
      <c r="AH184" s="20" t="s">
        <v>479</v>
      </c>
      <c r="AI184" s="20" t="s">
        <v>15</v>
      </c>
      <c r="AJ184" s="20">
        <v>-1</v>
      </c>
      <c r="AK184" s="20" t="s">
        <v>15</v>
      </c>
      <c r="AL184" s="20">
        <v>-1</v>
      </c>
      <c r="AM184" s="20" t="s">
        <v>887</v>
      </c>
      <c r="AN184">
        <v>182</v>
      </c>
    </row>
    <row r="185" spans="1:40" x14ac:dyDescent="0.25">
      <c r="A185" s="20" t="s">
        <v>7</v>
      </c>
      <c r="B185" s="21" t="s">
        <v>8</v>
      </c>
      <c r="C185" s="20" t="s">
        <v>9</v>
      </c>
      <c r="D185" s="21" t="s">
        <v>888</v>
      </c>
      <c r="E185" s="20">
        <v>2018</v>
      </c>
      <c r="F185" s="20">
        <v>5</v>
      </c>
      <c r="G185" s="20" t="s">
        <v>329</v>
      </c>
      <c r="H185" s="20" t="s">
        <v>10</v>
      </c>
      <c r="I185" s="20" t="s">
        <v>336</v>
      </c>
      <c r="J185" s="20">
        <v>4015</v>
      </c>
      <c r="K185" s="20" t="s">
        <v>62</v>
      </c>
      <c r="L185" s="20" t="s">
        <v>62</v>
      </c>
      <c r="M185" s="22">
        <v>0.80902777777777779</v>
      </c>
      <c r="N185" s="22">
        <v>0.83680555555555547</v>
      </c>
      <c r="O185" s="20">
        <v>28</v>
      </c>
      <c r="P185" s="20">
        <v>115</v>
      </c>
      <c r="Q185" s="20" t="s">
        <v>889</v>
      </c>
      <c r="R185" s="20">
        <v>100</v>
      </c>
      <c r="S185" s="20" t="s">
        <v>11</v>
      </c>
      <c r="T185" s="20" t="s">
        <v>19</v>
      </c>
      <c r="U185" s="20" t="s">
        <v>13</v>
      </c>
      <c r="V185" s="20" t="s">
        <v>14</v>
      </c>
      <c r="W185" s="20" t="s">
        <v>15</v>
      </c>
      <c r="X185" s="20">
        <v>4600</v>
      </c>
      <c r="Y185" s="20">
        <v>40</v>
      </c>
      <c r="Z185" s="20">
        <v>8.6180000000000007E-3</v>
      </c>
      <c r="AA185" s="20">
        <v>533754</v>
      </c>
      <c r="AB185" s="20">
        <v>8.6182023928626297E-3</v>
      </c>
      <c r="AC185" s="20">
        <v>1.9E-2</v>
      </c>
      <c r="AD185" s="20" t="s">
        <v>16</v>
      </c>
      <c r="AE185" s="20" t="s">
        <v>17</v>
      </c>
      <c r="AF185" s="20">
        <v>0</v>
      </c>
      <c r="AG185" s="20" t="s">
        <v>889</v>
      </c>
      <c r="AH185" s="20" t="s">
        <v>339</v>
      </c>
      <c r="AI185" s="20" t="s">
        <v>15</v>
      </c>
      <c r="AJ185" s="20">
        <v>-1</v>
      </c>
      <c r="AK185" s="20" t="s">
        <v>15</v>
      </c>
      <c r="AL185" s="20">
        <v>-1</v>
      </c>
      <c r="AM185" s="20" t="s">
        <v>890</v>
      </c>
      <c r="AN185">
        <v>183</v>
      </c>
    </row>
    <row r="186" spans="1:40" x14ac:dyDescent="0.25">
      <c r="A186" s="20" t="s">
        <v>7</v>
      </c>
      <c r="B186" s="21" t="s">
        <v>8</v>
      </c>
      <c r="C186" s="20" t="s">
        <v>9</v>
      </c>
      <c r="D186" s="21" t="s">
        <v>269</v>
      </c>
      <c r="E186" s="20">
        <v>2018</v>
      </c>
      <c r="F186" s="20">
        <v>5</v>
      </c>
      <c r="G186" s="20" t="s">
        <v>9</v>
      </c>
      <c r="H186" s="20" t="s">
        <v>10</v>
      </c>
      <c r="I186" s="20" t="s">
        <v>187</v>
      </c>
      <c r="J186" s="20">
        <v>4022</v>
      </c>
      <c r="K186" s="20" t="s">
        <v>263</v>
      </c>
      <c r="L186" s="20" t="s">
        <v>263</v>
      </c>
      <c r="M186" s="22">
        <v>0.71666666666666667</v>
      </c>
      <c r="N186" s="22">
        <v>0.8354166666666667</v>
      </c>
      <c r="O186" s="20">
        <v>411</v>
      </c>
      <c r="P186" s="20">
        <v>193</v>
      </c>
      <c r="Q186" s="20" t="s">
        <v>20</v>
      </c>
      <c r="R186" s="20">
        <v>100</v>
      </c>
      <c r="S186" s="20" t="s">
        <v>11</v>
      </c>
      <c r="T186" s="20" t="s">
        <v>19</v>
      </c>
      <c r="U186" s="20" t="s">
        <v>13</v>
      </c>
      <c r="V186" s="20" t="s">
        <v>14</v>
      </c>
      <c r="W186" s="20" t="s">
        <v>15</v>
      </c>
      <c r="X186" s="20">
        <v>33003</v>
      </c>
      <c r="Y186" s="20">
        <v>171</v>
      </c>
      <c r="Z186" s="20">
        <v>6.1831999999999998E-2</v>
      </c>
      <c r="AA186" s="20">
        <v>533754</v>
      </c>
      <c r="AB186" s="20">
        <v>6.1831855124270731E-2</v>
      </c>
      <c r="AC186" s="20">
        <v>1.171</v>
      </c>
      <c r="AD186" s="20" t="s">
        <v>16</v>
      </c>
      <c r="AE186" s="20" t="s">
        <v>21</v>
      </c>
      <c r="AF186" s="20" t="s">
        <v>270</v>
      </c>
      <c r="AG186" s="20">
        <v>0</v>
      </c>
      <c r="AH186" s="20" t="s">
        <v>188</v>
      </c>
      <c r="AI186" s="20" t="s">
        <v>15</v>
      </c>
      <c r="AJ186" s="20">
        <v>-1</v>
      </c>
      <c r="AK186" s="20" t="s">
        <v>15</v>
      </c>
      <c r="AL186" s="20">
        <v>-1</v>
      </c>
      <c r="AM186" s="20" t="s">
        <v>18</v>
      </c>
      <c r="AN186">
        <v>184</v>
      </c>
    </row>
    <row r="187" spans="1:40" x14ac:dyDescent="0.25">
      <c r="A187" s="20" t="s">
        <v>7</v>
      </c>
      <c r="B187" s="21" t="s">
        <v>8</v>
      </c>
      <c r="C187" s="20" t="s">
        <v>9</v>
      </c>
      <c r="D187" s="21" t="s">
        <v>891</v>
      </c>
      <c r="E187" s="20">
        <v>2018</v>
      </c>
      <c r="F187" s="20">
        <v>5</v>
      </c>
      <c r="G187" s="20" t="s">
        <v>323</v>
      </c>
      <c r="H187" s="20" t="s">
        <v>10</v>
      </c>
      <c r="I187" s="20" t="s">
        <v>324</v>
      </c>
      <c r="J187" s="20">
        <v>4020</v>
      </c>
      <c r="K187" s="20" t="s">
        <v>263</v>
      </c>
      <c r="L187" s="20" t="s">
        <v>263</v>
      </c>
      <c r="M187" s="22">
        <v>0.75138888888888899</v>
      </c>
      <c r="N187" s="22">
        <v>0.8965277777777777</v>
      </c>
      <c r="O187" s="20">
        <v>30</v>
      </c>
      <c r="P187" s="20">
        <v>60</v>
      </c>
      <c r="Q187" s="20" t="s">
        <v>495</v>
      </c>
      <c r="R187" s="20">
        <v>100</v>
      </c>
      <c r="S187" s="20" t="s">
        <v>25</v>
      </c>
      <c r="T187" s="20" t="s">
        <v>26</v>
      </c>
      <c r="U187" s="20" t="s">
        <v>13</v>
      </c>
      <c r="V187" s="20" t="s">
        <v>14</v>
      </c>
      <c r="W187" s="20" t="s">
        <v>15</v>
      </c>
      <c r="X187" s="20">
        <v>12540</v>
      </c>
      <c r="Y187" s="20">
        <v>209</v>
      </c>
      <c r="Z187" s="20">
        <v>2.3494000000000001E-2</v>
      </c>
      <c r="AA187" s="20">
        <v>533754</v>
      </c>
      <c r="AB187" s="20">
        <v>2.3493969131847255E-2</v>
      </c>
      <c r="AC187" s="20">
        <v>0.104</v>
      </c>
      <c r="AD187" s="20" t="s">
        <v>16</v>
      </c>
      <c r="AE187" s="20" t="s">
        <v>17</v>
      </c>
      <c r="AF187" s="20">
        <v>0</v>
      </c>
      <c r="AG187" s="20" t="s">
        <v>495</v>
      </c>
      <c r="AH187" s="20" t="s">
        <v>427</v>
      </c>
      <c r="AI187" s="20" t="s">
        <v>15</v>
      </c>
      <c r="AJ187" s="20">
        <v>-1</v>
      </c>
      <c r="AK187" s="20" t="s">
        <v>15</v>
      </c>
      <c r="AL187" s="20">
        <v>-1</v>
      </c>
      <c r="AM187" s="20" t="s">
        <v>892</v>
      </c>
      <c r="AN187">
        <v>185</v>
      </c>
    </row>
    <row r="188" spans="1:40" x14ac:dyDescent="0.25">
      <c r="A188" s="20" t="s">
        <v>7</v>
      </c>
      <c r="B188" s="21" t="s">
        <v>8</v>
      </c>
      <c r="C188" s="20" t="s">
        <v>9</v>
      </c>
      <c r="D188" s="21" t="s">
        <v>271</v>
      </c>
      <c r="E188" s="20">
        <v>2018</v>
      </c>
      <c r="F188" s="20">
        <v>5</v>
      </c>
      <c r="G188" s="20" t="s">
        <v>9</v>
      </c>
      <c r="H188" s="20" t="s">
        <v>10</v>
      </c>
      <c r="I188" s="20" t="s">
        <v>214</v>
      </c>
      <c r="J188" s="20">
        <v>4040</v>
      </c>
      <c r="K188" s="20" t="s">
        <v>64</v>
      </c>
      <c r="L188" s="20" t="s">
        <v>65</v>
      </c>
      <c r="M188" s="22">
        <v>0.89861111111111114</v>
      </c>
      <c r="N188" s="22">
        <v>0.54999999999999993</v>
      </c>
      <c r="O188" s="20">
        <v>121</v>
      </c>
      <c r="P188" s="20">
        <v>69</v>
      </c>
      <c r="Q188" s="20" t="s">
        <v>272</v>
      </c>
      <c r="R188" s="20">
        <v>100</v>
      </c>
      <c r="S188" s="20" t="s">
        <v>25</v>
      </c>
      <c r="T188" s="20" t="s">
        <v>26</v>
      </c>
      <c r="U188" s="20" t="s">
        <v>13</v>
      </c>
      <c r="V188" s="20" t="s">
        <v>14</v>
      </c>
      <c r="W188" s="20" t="s">
        <v>15</v>
      </c>
      <c r="X188" s="20">
        <v>64722</v>
      </c>
      <c r="Y188" s="20">
        <v>938</v>
      </c>
      <c r="Z188" s="20">
        <v>0.121258</v>
      </c>
      <c r="AA188" s="20">
        <v>533754</v>
      </c>
      <c r="AB188" s="20">
        <v>0.12125810766757719</v>
      </c>
      <c r="AC188" s="20">
        <v>1.8919999999999999</v>
      </c>
      <c r="AD188" s="20" t="s">
        <v>16</v>
      </c>
      <c r="AE188" s="20" t="s">
        <v>17</v>
      </c>
      <c r="AF188" s="20">
        <v>0</v>
      </c>
      <c r="AG188" s="20" t="s">
        <v>272</v>
      </c>
      <c r="AH188" s="20" t="s">
        <v>273</v>
      </c>
      <c r="AI188" s="20" t="s">
        <v>15</v>
      </c>
      <c r="AJ188" s="20">
        <v>-1</v>
      </c>
      <c r="AK188" s="20" t="s">
        <v>15</v>
      </c>
      <c r="AL188" s="20">
        <v>-1</v>
      </c>
      <c r="AM188" s="20" t="s">
        <v>274</v>
      </c>
      <c r="AN188">
        <v>186</v>
      </c>
    </row>
    <row r="189" spans="1:40" x14ac:dyDescent="0.25">
      <c r="A189" s="20" t="s">
        <v>7</v>
      </c>
      <c r="B189" s="21" t="s">
        <v>8</v>
      </c>
      <c r="C189" s="20" t="s">
        <v>9</v>
      </c>
      <c r="D189" s="21" t="s">
        <v>893</v>
      </c>
      <c r="E189" s="20">
        <v>2018</v>
      </c>
      <c r="F189" s="20">
        <v>5</v>
      </c>
      <c r="G189" s="20" t="s">
        <v>323</v>
      </c>
      <c r="H189" s="20" t="s">
        <v>10</v>
      </c>
      <c r="I189" s="20" t="s">
        <v>324</v>
      </c>
      <c r="J189" s="20">
        <v>4030</v>
      </c>
      <c r="K189" s="20" t="s">
        <v>64</v>
      </c>
      <c r="L189" s="20" t="s">
        <v>64</v>
      </c>
      <c r="M189" s="22">
        <v>0.34375</v>
      </c>
      <c r="N189" s="22">
        <v>0.57361111111111118</v>
      </c>
      <c r="O189" s="20">
        <v>10</v>
      </c>
      <c r="P189" s="20">
        <v>1</v>
      </c>
      <c r="Q189" s="20" t="s">
        <v>894</v>
      </c>
      <c r="R189" s="20">
        <v>100</v>
      </c>
      <c r="S189" s="20" t="s">
        <v>11</v>
      </c>
      <c r="T189" s="20" t="s">
        <v>895</v>
      </c>
      <c r="U189" s="20" t="s">
        <v>13</v>
      </c>
      <c r="V189" s="20" t="s">
        <v>14</v>
      </c>
      <c r="W189" s="20" t="s">
        <v>15</v>
      </c>
      <c r="X189" s="20">
        <v>331</v>
      </c>
      <c r="Y189" s="20">
        <v>331</v>
      </c>
      <c r="Z189" s="20">
        <v>6.2E-4</v>
      </c>
      <c r="AA189" s="20">
        <v>533754</v>
      </c>
      <c r="AB189" s="20">
        <v>6.2013586783424572E-4</v>
      </c>
      <c r="AC189" s="20">
        <v>5.5E-2</v>
      </c>
      <c r="AD189" s="20" t="s">
        <v>16</v>
      </c>
      <c r="AE189" s="20" t="s">
        <v>17</v>
      </c>
      <c r="AF189" s="20">
        <v>0</v>
      </c>
      <c r="AG189" s="20" t="s">
        <v>894</v>
      </c>
      <c r="AH189" s="20" t="s">
        <v>896</v>
      </c>
      <c r="AI189" s="20" t="s">
        <v>15</v>
      </c>
      <c r="AJ189" s="20">
        <v>1997</v>
      </c>
      <c r="AK189" s="20" t="s">
        <v>15</v>
      </c>
      <c r="AL189" s="20">
        <v>-1</v>
      </c>
      <c r="AM189" s="20" t="s">
        <v>18</v>
      </c>
      <c r="AN189">
        <v>187</v>
      </c>
    </row>
    <row r="190" spans="1:40" x14ac:dyDescent="0.25">
      <c r="A190" s="20" t="s">
        <v>7</v>
      </c>
      <c r="B190" s="21" t="s">
        <v>8</v>
      </c>
      <c r="C190" s="20" t="s">
        <v>9</v>
      </c>
      <c r="D190" s="21" t="s">
        <v>897</v>
      </c>
      <c r="E190" s="20">
        <v>2018</v>
      </c>
      <c r="F190" s="20">
        <v>5</v>
      </c>
      <c r="G190" s="20" t="s">
        <v>329</v>
      </c>
      <c r="H190" s="20" t="s">
        <v>10</v>
      </c>
      <c r="I190" s="20" t="s">
        <v>330</v>
      </c>
      <c r="J190" s="20">
        <v>4030</v>
      </c>
      <c r="K190" s="20" t="s">
        <v>64</v>
      </c>
      <c r="L190" s="20" t="s">
        <v>65</v>
      </c>
      <c r="M190" s="22">
        <v>0.52638888888888891</v>
      </c>
      <c r="N190" s="22">
        <v>0.38750000000000001</v>
      </c>
      <c r="O190" s="20">
        <v>45</v>
      </c>
      <c r="P190" s="20">
        <v>46</v>
      </c>
      <c r="Q190" s="20" t="s">
        <v>898</v>
      </c>
      <c r="R190" s="20">
        <v>100</v>
      </c>
      <c r="S190" s="20" t="s">
        <v>372</v>
      </c>
      <c r="T190" s="20" t="s">
        <v>899</v>
      </c>
      <c r="U190" s="20" t="s">
        <v>13</v>
      </c>
      <c r="V190" s="20" t="s">
        <v>14</v>
      </c>
      <c r="W190" s="20"/>
      <c r="X190" s="20">
        <v>57040</v>
      </c>
      <c r="Y190" s="20">
        <v>1240</v>
      </c>
      <c r="Z190" s="20">
        <v>0.106866</v>
      </c>
      <c r="AA190" s="20">
        <v>533754</v>
      </c>
      <c r="AB190" s="20">
        <v>0.10686570967149661</v>
      </c>
      <c r="AC190" s="20">
        <v>0.93</v>
      </c>
      <c r="AD190" s="20" t="s">
        <v>16</v>
      </c>
      <c r="AE190" s="20" t="s">
        <v>17</v>
      </c>
      <c r="AF190" s="20">
        <v>0</v>
      </c>
      <c r="AG190" s="20" t="s">
        <v>898</v>
      </c>
      <c r="AH190" s="20" t="s">
        <v>845</v>
      </c>
      <c r="AI190" s="20" t="s">
        <v>15</v>
      </c>
      <c r="AJ190" s="20">
        <v>-1</v>
      </c>
      <c r="AK190" s="20" t="s">
        <v>15</v>
      </c>
      <c r="AL190" s="20">
        <v>-1</v>
      </c>
      <c r="AM190" s="20" t="s">
        <v>18</v>
      </c>
      <c r="AN190">
        <v>188</v>
      </c>
    </row>
    <row r="191" spans="1:40" x14ac:dyDescent="0.25">
      <c r="A191" s="20" t="s">
        <v>7</v>
      </c>
      <c r="B191" s="21" t="s">
        <v>8</v>
      </c>
      <c r="C191" s="20" t="s">
        <v>9</v>
      </c>
      <c r="D191" s="21" t="s">
        <v>900</v>
      </c>
      <c r="E191" s="20">
        <v>2018</v>
      </c>
      <c r="F191" s="20">
        <v>5</v>
      </c>
      <c r="G191" s="20" t="s">
        <v>342</v>
      </c>
      <c r="H191" s="20" t="s">
        <v>342</v>
      </c>
      <c r="I191" s="20" t="s">
        <v>361</v>
      </c>
      <c r="J191" s="20">
        <v>4020</v>
      </c>
      <c r="K191" s="20" t="s">
        <v>65</v>
      </c>
      <c r="L191" s="20" t="s">
        <v>65</v>
      </c>
      <c r="M191" s="22">
        <v>0.39999999999999997</v>
      </c>
      <c r="N191" s="22">
        <v>0.45763888888888887</v>
      </c>
      <c r="O191" s="20">
        <v>40</v>
      </c>
      <c r="P191" s="20">
        <v>48</v>
      </c>
      <c r="Q191" s="20" t="s">
        <v>413</v>
      </c>
      <c r="R191" s="20">
        <v>0</v>
      </c>
      <c r="S191" s="20" t="s">
        <v>11</v>
      </c>
      <c r="T191" s="20" t="s">
        <v>12</v>
      </c>
      <c r="U191" s="20" t="s">
        <v>13</v>
      </c>
      <c r="V191" s="20" t="s">
        <v>14</v>
      </c>
      <c r="W191" s="20" t="s">
        <v>15</v>
      </c>
      <c r="X191" s="20">
        <v>3984</v>
      </c>
      <c r="Y191" s="20">
        <v>83</v>
      </c>
      <c r="Z191" s="20">
        <v>7.4640000000000001E-3</v>
      </c>
      <c r="AA191" s="20">
        <v>533754</v>
      </c>
      <c r="AB191" s="20">
        <v>7.4641126811227643E-3</v>
      </c>
      <c r="AC191" s="20">
        <v>5.5E-2</v>
      </c>
      <c r="AD191" s="20" t="s">
        <v>16</v>
      </c>
      <c r="AE191" s="20" t="s">
        <v>17</v>
      </c>
      <c r="AF191" s="20">
        <v>0</v>
      </c>
      <c r="AG191" s="20" t="s">
        <v>413</v>
      </c>
      <c r="AH191" s="20" t="s">
        <v>901</v>
      </c>
      <c r="AI191" s="20" t="s">
        <v>15</v>
      </c>
      <c r="AJ191" s="20">
        <v>-1</v>
      </c>
      <c r="AK191" s="20" t="s">
        <v>15</v>
      </c>
      <c r="AL191" s="20">
        <v>-1</v>
      </c>
      <c r="AM191" s="20" t="s">
        <v>902</v>
      </c>
      <c r="AN191">
        <v>189</v>
      </c>
    </row>
    <row r="192" spans="1:40" x14ac:dyDescent="0.25">
      <c r="A192" s="20" t="s">
        <v>7</v>
      </c>
      <c r="B192" s="21" t="s">
        <v>8</v>
      </c>
      <c r="C192" s="20" t="s">
        <v>9</v>
      </c>
      <c r="D192" s="21" t="s">
        <v>275</v>
      </c>
      <c r="E192" s="20">
        <v>2018</v>
      </c>
      <c r="F192" s="20">
        <v>5</v>
      </c>
      <c r="G192" s="20" t="s">
        <v>9</v>
      </c>
      <c r="H192" s="20" t="s">
        <v>10</v>
      </c>
      <c r="I192" s="20" t="s">
        <v>214</v>
      </c>
      <c r="J192" s="20">
        <v>4050</v>
      </c>
      <c r="K192" s="20" t="s">
        <v>65</v>
      </c>
      <c r="L192" s="20" t="s">
        <v>276</v>
      </c>
      <c r="M192" s="22">
        <v>0.74722222222222223</v>
      </c>
      <c r="N192" s="22">
        <v>0.4861111111111111</v>
      </c>
      <c r="O192" s="20">
        <v>25</v>
      </c>
      <c r="P192" s="20">
        <v>35</v>
      </c>
      <c r="Q192" s="20" t="s">
        <v>277</v>
      </c>
      <c r="R192" s="20">
        <v>100</v>
      </c>
      <c r="S192" s="20" t="s">
        <v>11</v>
      </c>
      <c r="T192" s="20" t="s">
        <v>56</v>
      </c>
      <c r="U192" s="20" t="s">
        <v>13</v>
      </c>
      <c r="V192" s="20" t="s">
        <v>14</v>
      </c>
      <c r="W192" s="20" t="s">
        <v>15</v>
      </c>
      <c r="X192" s="20">
        <v>37240</v>
      </c>
      <c r="Y192" s="20">
        <v>1064</v>
      </c>
      <c r="Z192" s="20">
        <v>6.9769999999999999E-2</v>
      </c>
      <c r="AA192" s="20">
        <v>533754</v>
      </c>
      <c r="AB192" s="20">
        <v>6.9769968937000937E-2</v>
      </c>
      <c r="AC192" s="20">
        <v>0.443</v>
      </c>
      <c r="AD192" s="20" t="s">
        <v>16</v>
      </c>
      <c r="AE192" s="20" t="s">
        <v>17</v>
      </c>
      <c r="AF192" s="20">
        <v>0</v>
      </c>
      <c r="AG192" s="20" t="s">
        <v>277</v>
      </c>
      <c r="AH192" s="20" t="s">
        <v>273</v>
      </c>
      <c r="AI192" s="20" t="s">
        <v>15</v>
      </c>
      <c r="AJ192" s="20">
        <v>-1</v>
      </c>
      <c r="AK192" s="20" t="s">
        <v>15</v>
      </c>
      <c r="AL192" s="20">
        <v>-1</v>
      </c>
      <c r="AM192" s="20" t="s">
        <v>278</v>
      </c>
      <c r="AN192">
        <v>190</v>
      </c>
    </row>
    <row r="193" spans="1:40" x14ac:dyDescent="0.25">
      <c r="A193" s="20" t="s">
        <v>7</v>
      </c>
      <c r="B193" s="21" t="s">
        <v>8</v>
      </c>
      <c r="C193" s="20" t="s">
        <v>9</v>
      </c>
      <c r="D193" s="21" t="s">
        <v>903</v>
      </c>
      <c r="E193" s="20">
        <v>2018</v>
      </c>
      <c r="F193" s="20">
        <v>5</v>
      </c>
      <c r="G193" s="20" t="s">
        <v>342</v>
      </c>
      <c r="H193" s="20" t="s">
        <v>342</v>
      </c>
      <c r="I193" s="20" t="s">
        <v>361</v>
      </c>
      <c r="J193" s="20">
        <v>4060</v>
      </c>
      <c r="K193" s="20" t="s">
        <v>65</v>
      </c>
      <c r="L193" s="20" t="s">
        <v>65</v>
      </c>
      <c r="M193" s="22">
        <v>0.33958333333333335</v>
      </c>
      <c r="N193" s="22">
        <v>0.41875000000000001</v>
      </c>
      <c r="O193" s="20">
        <v>100</v>
      </c>
      <c r="P193" s="20">
        <v>118</v>
      </c>
      <c r="Q193" s="20" t="s">
        <v>904</v>
      </c>
      <c r="R193" s="20">
        <v>0</v>
      </c>
      <c r="S193" s="20" t="s">
        <v>11</v>
      </c>
      <c r="T193" s="20" t="s">
        <v>12</v>
      </c>
      <c r="U193" s="20" t="s">
        <v>13</v>
      </c>
      <c r="V193" s="20" t="s">
        <v>14</v>
      </c>
      <c r="W193" s="20" t="s">
        <v>15</v>
      </c>
      <c r="X193" s="20">
        <v>13452</v>
      </c>
      <c r="Y193" s="20">
        <v>114</v>
      </c>
      <c r="Z193" s="20">
        <v>2.5203E-2</v>
      </c>
      <c r="AA193" s="20">
        <v>533754</v>
      </c>
      <c r="AB193" s="20">
        <v>2.5202621432345237E-2</v>
      </c>
      <c r="AC193" s="20">
        <v>0.19</v>
      </c>
      <c r="AD193" s="20" t="s">
        <v>16</v>
      </c>
      <c r="AE193" s="20" t="s">
        <v>17</v>
      </c>
      <c r="AF193" s="20">
        <v>0</v>
      </c>
      <c r="AG193" s="20" t="s">
        <v>904</v>
      </c>
      <c r="AH193" s="20" t="s">
        <v>765</v>
      </c>
      <c r="AI193" s="20" t="s">
        <v>15</v>
      </c>
      <c r="AJ193" s="20">
        <v>-1</v>
      </c>
      <c r="AK193" s="20" t="s">
        <v>15</v>
      </c>
      <c r="AL193" s="20">
        <v>-1</v>
      </c>
      <c r="AM193" s="20" t="s">
        <v>905</v>
      </c>
      <c r="AN193">
        <v>191</v>
      </c>
    </row>
    <row r="194" spans="1:40" x14ac:dyDescent="0.25">
      <c r="A194" s="20" t="s">
        <v>7</v>
      </c>
      <c r="B194" s="21" t="s">
        <v>8</v>
      </c>
      <c r="C194" s="20" t="s">
        <v>9</v>
      </c>
      <c r="D194" s="21" t="s">
        <v>906</v>
      </c>
      <c r="E194" s="20">
        <v>2018</v>
      </c>
      <c r="F194" s="20">
        <v>5</v>
      </c>
      <c r="G194" s="20" t="s">
        <v>329</v>
      </c>
      <c r="H194" s="20" t="s">
        <v>10</v>
      </c>
      <c r="I194" s="20" t="s">
        <v>330</v>
      </c>
      <c r="J194" s="20">
        <v>4030</v>
      </c>
      <c r="K194" s="20" t="s">
        <v>65</v>
      </c>
      <c r="L194" s="20" t="s">
        <v>65</v>
      </c>
      <c r="M194" s="22">
        <v>0.38750000000000001</v>
      </c>
      <c r="N194" s="22">
        <v>0.62083333333333335</v>
      </c>
      <c r="O194" s="20">
        <v>45</v>
      </c>
      <c r="P194" s="20">
        <v>71</v>
      </c>
      <c r="Q194" s="20" t="s">
        <v>898</v>
      </c>
      <c r="R194" s="20">
        <v>100</v>
      </c>
      <c r="S194" s="20" t="s">
        <v>372</v>
      </c>
      <c r="T194" s="20" t="s">
        <v>899</v>
      </c>
      <c r="U194" s="20" t="s">
        <v>13</v>
      </c>
      <c r="V194" s="20" t="s">
        <v>14</v>
      </c>
      <c r="W194" s="20" t="s">
        <v>15</v>
      </c>
      <c r="X194" s="20">
        <v>23856</v>
      </c>
      <c r="Y194" s="20">
        <v>336</v>
      </c>
      <c r="Z194" s="20">
        <v>4.4694999999999999E-2</v>
      </c>
      <c r="AA194" s="20">
        <v>533754</v>
      </c>
      <c r="AB194" s="20">
        <v>4.4694747018289321E-2</v>
      </c>
      <c r="AC194" s="20">
        <v>0.252</v>
      </c>
      <c r="AD194" s="20" t="s">
        <v>16</v>
      </c>
      <c r="AE194" s="20" t="s">
        <v>17</v>
      </c>
      <c r="AF194" s="20">
        <v>0</v>
      </c>
      <c r="AG194" s="20" t="s">
        <v>898</v>
      </c>
      <c r="AH194" s="20" t="s">
        <v>845</v>
      </c>
      <c r="AI194" s="20" t="s">
        <v>15</v>
      </c>
      <c r="AJ194" s="20">
        <v>-1</v>
      </c>
      <c r="AK194" s="20" t="s">
        <v>15</v>
      </c>
      <c r="AL194" s="20">
        <v>-1</v>
      </c>
      <c r="AM194" s="20" t="s">
        <v>907</v>
      </c>
      <c r="AN194">
        <v>192</v>
      </c>
    </row>
    <row r="195" spans="1:40" x14ac:dyDescent="0.25">
      <c r="A195" s="20" t="s">
        <v>7</v>
      </c>
      <c r="B195" s="21" t="s">
        <v>8</v>
      </c>
      <c r="C195" s="20" t="s">
        <v>9</v>
      </c>
      <c r="D195" s="21" t="s">
        <v>279</v>
      </c>
      <c r="E195" s="20">
        <v>2018</v>
      </c>
      <c r="F195" s="20">
        <v>5</v>
      </c>
      <c r="G195" s="20" t="s">
        <v>9</v>
      </c>
      <c r="H195" s="20" t="s">
        <v>10</v>
      </c>
      <c r="I195" s="20" t="s">
        <v>208</v>
      </c>
      <c r="J195" s="20">
        <v>4030</v>
      </c>
      <c r="K195" s="20" t="s">
        <v>276</v>
      </c>
      <c r="L195" s="20" t="s">
        <v>276</v>
      </c>
      <c r="M195" s="22">
        <v>0.35069444444444442</v>
      </c>
      <c r="N195" s="22">
        <v>0.42708333333333331</v>
      </c>
      <c r="O195" s="20">
        <v>35</v>
      </c>
      <c r="P195" s="20">
        <v>157</v>
      </c>
      <c r="Q195" s="20" t="s">
        <v>280</v>
      </c>
      <c r="R195" s="20">
        <v>100</v>
      </c>
      <c r="S195" s="20" t="s">
        <v>11</v>
      </c>
      <c r="T195" s="20" t="s">
        <v>12</v>
      </c>
      <c r="U195" s="20" t="s">
        <v>13</v>
      </c>
      <c r="V195" s="20" t="s">
        <v>14</v>
      </c>
      <c r="W195" s="20" t="s">
        <v>15</v>
      </c>
      <c r="X195" s="20">
        <v>17270</v>
      </c>
      <c r="Y195" s="20">
        <v>110</v>
      </c>
      <c r="Z195" s="20">
        <v>3.2356000000000003E-2</v>
      </c>
      <c r="AA195" s="20">
        <v>533754</v>
      </c>
      <c r="AB195" s="20">
        <v>3.2355729418421221E-2</v>
      </c>
      <c r="AC195" s="20">
        <v>6.4000000000000001E-2</v>
      </c>
      <c r="AD195" s="20" t="s">
        <v>16</v>
      </c>
      <c r="AE195" s="20" t="s">
        <v>17</v>
      </c>
      <c r="AF195" s="20">
        <v>0</v>
      </c>
      <c r="AG195" s="20" t="s">
        <v>280</v>
      </c>
      <c r="AH195" s="20" t="s">
        <v>281</v>
      </c>
      <c r="AI195" s="20" t="s">
        <v>15</v>
      </c>
      <c r="AJ195" s="20">
        <v>-1</v>
      </c>
      <c r="AK195" s="20" t="s">
        <v>15</v>
      </c>
      <c r="AL195" s="20">
        <v>-1</v>
      </c>
      <c r="AM195" s="20" t="s">
        <v>282</v>
      </c>
      <c r="AN195">
        <v>193</v>
      </c>
    </row>
    <row r="196" spans="1:40" x14ac:dyDescent="0.25">
      <c r="A196" s="20" t="s">
        <v>7</v>
      </c>
      <c r="B196" s="21" t="s">
        <v>8</v>
      </c>
      <c r="C196" s="20" t="s">
        <v>9</v>
      </c>
      <c r="D196" s="21" t="s">
        <v>908</v>
      </c>
      <c r="E196" s="20">
        <v>2018</v>
      </c>
      <c r="F196" s="20">
        <v>5</v>
      </c>
      <c r="G196" s="20" t="s">
        <v>329</v>
      </c>
      <c r="H196" s="20" t="s">
        <v>10</v>
      </c>
      <c r="I196" s="20" t="s">
        <v>376</v>
      </c>
      <c r="J196" s="20">
        <v>4010</v>
      </c>
      <c r="K196" s="20" t="s">
        <v>66</v>
      </c>
      <c r="L196" s="20" t="s">
        <v>66</v>
      </c>
      <c r="M196" s="22">
        <v>0.40902777777777777</v>
      </c>
      <c r="N196" s="22">
        <v>0.89861111111111114</v>
      </c>
      <c r="O196" s="20">
        <v>45</v>
      </c>
      <c r="P196" s="20">
        <v>100</v>
      </c>
      <c r="Q196" s="20" t="s">
        <v>564</v>
      </c>
      <c r="R196" s="20">
        <v>100</v>
      </c>
      <c r="S196" s="20" t="s">
        <v>11</v>
      </c>
      <c r="T196" s="20" t="s">
        <v>63</v>
      </c>
      <c r="U196" s="20" t="s">
        <v>13</v>
      </c>
      <c r="V196" s="20" t="s">
        <v>14</v>
      </c>
      <c r="W196" s="20" t="s">
        <v>15</v>
      </c>
      <c r="X196" s="20">
        <v>70500</v>
      </c>
      <c r="Y196" s="20">
        <v>705</v>
      </c>
      <c r="Z196" s="20">
        <v>0.13208300000000001</v>
      </c>
      <c r="AA196" s="20">
        <v>533754</v>
      </c>
      <c r="AB196" s="20">
        <v>0.13208331928191638</v>
      </c>
      <c r="AC196" s="20">
        <v>0.52900000000000003</v>
      </c>
      <c r="AD196" s="20" t="s">
        <v>16</v>
      </c>
      <c r="AE196" s="20" t="s">
        <v>17</v>
      </c>
      <c r="AF196" s="20">
        <v>0</v>
      </c>
      <c r="AG196" s="20" t="s">
        <v>564</v>
      </c>
      <c r="AH196" s="20" t="s">
        <v>339</v>
      </c>
      <c r="AI196" s="20" t="s">
        <v>15</v>
      </c>
      <c r="AJ196" s="20">
        <v>-1</v>
      </c>
      <c r="AK196" s="20" t="s">
        <v>15</v>
      </c>
      <c r="AL196" s="20">
        <v>-1</v>
      </c>
      <c r="AM196" s="20" t="s">
        <v>909</v>
      </c>
      <c r="AN196">
        <v>194</v>
      </c>
    </row>
    <row r="197" spans="1:40" x14ac:dyDescent="0.25">
      <c r="A197" s="20" t="s">
        <v>7</v>
      </c>
      <c r="B197" s="21" t="s">
        <v>8</v>
      </c>
      <c r="C197" s="20" t="s">
        <v>9</v>
      </c>
      <c r="D197" s="21" t="s">
        <v>283</v>
      </c>
      <c r="E197" s="20">
        <v>2018</v>
      </c>
      <c r="F197" s="20">
        <v>5</v>
      </c>
      <c r="G197" s="20" t="s">
        <v>9</v>
      </c>
      <c r="H197" s="20" t="s">
        <v>10</v>
      </c>
      <c r="I197" s="20" t="s">
        <v>208</v>
      </c>
      <c r="J197" s="20">
        <v>4040</v>
      </c>
      <c r="K197" s="20" t="s">
        <v>66</v>
      </c>
      <c r="L197" s="20" t="s">
        <v>66</v>
      </c>
      <c r="M197" s="22">
        <v>0.50069444444444444</v>
      </c>
      <c r="N197" s="22">
        <v>0.88402777777777775</v>
      </c>
      <c r="O197" s="20">
        <v>58</v>
      </c>
      <c r="P197" s="20">
        <v>56</v>
      </c>
      <c r="Q197" s="20" t="s">
        <v>284</v>
      </c>
      <c r="R197" s="20">
        <v>100</v>
      </c>
      <c r="S197" s="20" t="s">
        <v>11</v>
      </c>
      <c r="T197" s="20" t="s">
        <v>19</v>
      </c>
      <c r="U197" s="20" t="s">
        <v>13</v>
      </c>
      <c r="V197" s="20" t="s">
        <v>14</v>
      </c>
      <c r="W197" s="20" t="s">
        <v>15</v>
      </c>
      <c r="X197" s="20">
        <v>30912</v>
      </c>
      <c r="Y197" s="20">
        <v>552</v>
      </c>
      <c r="Z197" s="20">
        <v>5.7914E-2</v>
      </c>
      <c r="AA197" s="20">
        <v>533754</v>
      </c>
      <c r="AB197" s="20">
        <v>5.7914320080036871E-2</v>
      </c>
      <c r="AC197" s="20">
        <v>0.53400000000000003</v>
      </c>
      <c r="AD197" s="20" t="s">
        <v>16</v>
      </c>
      <c r="AE197" s="20" t="s">
        <v>17</v>
      </c>
      <c r="AF197" s="20">
        <v>0</v>
      </c>
      <c r="AG197" s="20" t="s">
        <v>284</v>
      </c>
      <c r="AH197" s="20" t="s">
        <v>188</v>
      </c>
      <c r="AI197" s="20" t="s">
        <v>15</v>
      </c>
      <c r="AJ197" s="20">
        <v>-1</v>
      </c>
      <c r="AK197" s="20" t="s">
        <v>15</v>
      </c>
      <c r="AL197" s="20">
        <v>-1</v>
      </c>
      <c r="AM197" s="20" t="s">
        <v>285</v>
      </c>
      <c r="AN197">
        <v>195</v>
      </c>
    </row>
    <row r="198" spans="1:40" x14ac:dyDescent="0.25">
      <c r="A198" s="20" t="s">
        <v>7</v>
      </c>
      <c r="B198" s="21" t="s">
        <v>8</v>
      </c>
      <c r="C198" s="20" t="s">
        <v>9</v>
      </c>
      <c r="D198" s="21" t="s">
        <v>286</v>
      </c>
      <c r="E198" s="20">
        <v>2018</v>
      </c>
      <c r="F198" s="20">
        <v>5</v>
      </c>
      <c r="G198" s="20" t="s">
        <v>9</v>
      </c>
      <c r="H198" s="20" t="s">
        <v>10</v>
      </c>
      <c r="I198" s="20" t="s">
        <v>208</v>
      </c>
      <c r="J198" s="20">
        <v>4040</v>
      </c>
      <c r="K198" s="20" t="s">
        <v>66</v>
      </c>
      <c r="L198" s="20" t="s">
        <v>66</v>
      </c>
      <c r="M198" s="22">
        <v>0.55555555555555558</v>
      </c>
      <c r="N198" s="22">
        <v>0.63124999999999998</v>
      </c>
      <c r="O198" s="20">
        <v>32</v>
      </c>
      <c r="P198" s="20">
        <v>23</v>
      </c>
      <c r="Q198" s="20" t="s">
        <v>287</v>
      </c>
      <c r="R198" s="20">
        <v>100</v>
      </c>
      <c r="S198" s="20" t="s">
        <v>11</v>
      </c>
      <c r="T198" s="20" t="s">
        <v>12</v>
      </c>
      <c r="U198" s="20" t="s">
        <v>13</v>
      </c>
      <c r="V198" s="20" t="s">
        <v>14</v>
      </c>
      <c r="W198" s="20" t="s">
        <v>15</v>
      </c>
      <c r="X198" s="20">
        <v>2507</v>
      </c>
      <c r="Y198" s="20">
        <v>109</v>
      </c>
      <c r="Z198" s="20">
        <v>4.6969999999999998E-3</v>
      </c>
      <c r="AA198" s="20">
        <v>533754</v>
      </c>
      <c r="AB198" s="20">
        <v>4.6969203041101332E-3</v>
      </c>
      <c r="AC198" s="20">
        <v>5.8000000000000003E-2</v>
      </c>
      <c r="AD198" s="20" t="s">
        <v>16</v>
      </c>
      <c r="AE198" s="20" t="s">
        <v>17</v>
      </c>
      <c r="AF198" s="20">
        <v>0</v>
      </c>
      <c r="AG198" s="20" t="s">
        <v>287</v>
      </c>
      <c r="AH198" s="20" t="s">
        <v>288</v>
      </c>
      <c r="AI198" s="20" t="s">
        <v>15</v>
      </c>
      <c r="AJ198" s="20">
        <v>-1</v>
      </c>
      <c r="AK198" s="20" t="s">
        <v>15</v>
      </c>
      <c r="AL198" s="20">
        <v>-1</v>
      </c>
      <c r="AM198" s="20" t="s">
        <v>289</v>
      </c>
      <c r="AN198">
        <v>196</v>
      </c>
    </row>
    <row r="199" spans="1:40" x14ac:dyDescent="0.25">
      <c r="A199" s="20" t="s">
        <v>7</v>
      </c>
      <c r="B199" s="21" t="s">
        <v>8</v>
      </c>
      <c r="C199" s="20" t="s">
        <v>9</v>
      </c>
      <c r="D199" s="21" t="s">
        <v>910</v>
      </c>
      <c r="E199" s="20">
        <v>2018</v>
      </c>
      <c r="F199" s="20">
        <v>5</v>
      </c>
      <c r="G199" s="20" t="s">
        <v>449</v>
      </c>
      <c r="H199" s="20" t="s">
        <v>10</v>
      </c>
      <c r="I199" s="20" t="s">
        <v>551</v>
      </c>
      <c r="J199" s="20">
        <v>4035</v>
      </c>
      <c r="K199" s="20" t="s">
        <v>66</v>
      </c>
      <c r="L199" s="20" t="s">
        <v>66</v>
      </c>
      <c r="M199" s="22">
        <v>0.36736111111111108</v>
      </c>
      <c r="N199" s="22">
        <v>0.45694444444444443</v>
      </c>
      <c r="O199" s="20">
        <v>75</v>
      </c>
      <c r="P199" s="20">
        <v>39</v>
      </c>
      <c r="Q199" s="20" t="s">
        <v>911</v>
      </c>
      <c r="R199" s="20">
        <v>100</v>
      </c>
      <c r="S199" s="20" t="s">
        <v>25</v>
      </c>
      <c r="T199" s="20" t="s">
        <v>26</v>
      </c>
      <c r="U199" s="20" t="s">
        <v>13</v>
      </c>
      <c r="V199" s="20" t="s">
        <v>14</v>
      </c>
      <c r="W199" s="20" t="s">
        <v>15</v>
      </c>
      <c r="X199" s="20">
        <v>5031</v>
      </c>
      <c r="Y199" s="20">
        <v>129</v>
      </c>
      <c r="Z199" s="20">
        <v>9.4260000000000004E-3</v>
      </c>
      <c r="AA199" s="20">
        <v>533754</v>
      </c>
      <c r="AB199" s="20">
        <v>9.4256904866286718E-3</v>
      </c>
      <c r="AC199" s="20">
        <v>0.161</v>
      </c>
      <c r="AD199" s="20" t="s">
        <v>16</v>
      </c>
      <c r="AE199" s="20" t="s">
        <v>17</v>
      </c>
      <c r="AF199" s="20">
        <v>0</v>
      </c>
      <c r="AG199" s="20" t="s">
        <v>911</v>
      </c>
      <c r="AH199" s="20" t="s">
        <v>912</v>
      </c>
      <c r="AI199" s="20" t="s">
        <v>15</v>
      </c>
      <c r="AJ199" s="20">
        <v>-1</v>
      </c>
      <c r="AK199" s="20" t="s">
        <v>15</v>
      </c>
      <c r="AL199" s="20">
        <v>-1</v>
      </c>
      <c r="AM199" s="20" t="s">
        <v>913</v>
      </c>
      <c r="AN199">
        <v>197</v>
      </c>
    </row>
    <row r="200" spans="1:40" x14ac:dyDescent="0.25">
      <c r="A200" s="20" t="s">
        <v>7</v>
      </c>
      <c r="B200" s="21" t="s">
        <v>8</v>
      </c>
      <c r="C200" s="20" t="s">
        <v>9</v>
      </c>
      <c r="D200" s="21" t="s">
        <v>914</v>
      </c>
      <c r="E200" s="20">
        <v>2018</v>
      </c>
      <c r="F200" s="20">
        <v>5</v>
      </c>
      <c r="G200" s="20" t="s">
        <v>342</v>
      </c>
      <c r="H200" s="20" t="s">
        <v>342</v>
      </c>
      <c r="I200" s="20" t="s">
        <v>366</v>
      </c>
      <c r="J200" s="20">
        <v>4100</v>
      </c>
      <c r="K200" s="20" t="s">
        <v>66</v>
      </c>
      <c r="L200" s="20" t="s">
        <v>66</v>
      </c>
      <c r="M200" s="22">
        <v>0.3972222222222222</v>
      </c>
      <c r="N200" s="22">
        <v>0.3979166666666667</v>
      </c>
      <c r="O200" s="20">
        <v>5560</v>
      </c>
      <c r="P200" s="20"/>
      <c r="Q200" s="20" t="s">
        <v>20</v>
      </c>
      <c r="R200" s="20">
        <v>0</v>
      </c>
      <c r="S200" s="20" t="s">
        <v>514</v>
      </c>
      <c r="T200" s="20" t="s">
        <v>12</v>
      </c>
      <c r="U200" s="20" t="s">
        <v>13</v>
      </c>
      <c r="V200" s="20" t="s">
        <v>14</v>
      </c>
      <c r="W200" s="20"/>
      <c r="X200" s="20"/>
      <c r="Y200" s="20">
        <v>1</v>
      </c>
      <c r="Z200" s="20"/>
      <c r="AA200" s="20">
        <v>533754</v>
      </c>
      <c r="AB200" s="20"/>
      <c r="AC200" s="20">
        <v>9.2999999999999999E-2</v>
      </c>
      <c r="AD200" s="20" t="s">
        <v>16</v>
      </c>
      <c r="AE200" s="20" t="s">
        <v>21</v>
      </c>
      <c r="AF200" s="20" t="s">
        <v>37</v>
      </c>
      <c r="AG200" s="20">
        <v>0</v>
      </c>
      <c r="AH200" s="20" t="s">
        <v>638</v>
      </c>
      <c r="AI200" s="20" t="s">
        <v>15</v>
      </c>
      <c r="AJ200" s="20">
        <v>-1</v>
      </c>
      <c r="AK200" s="20" t="s">
        <v>15</v>
      </c>
      <c r="AL200" s="20">
        <v>-1</v>
      </c>
      <c r="AM200" s="20" t="s">
        <v>18</v>
      </c>
      <c r="AN200">
        <v>198</v>
      </c>
    </row>
    <row r="201" spans="1:40" x14ac:dyDescent="0.25">
      <c r="A201" s="20" t="s">
        <v>7</v>
      </c>
      <c r="B201" s="21" t="s">
        <v>8</v>
      </c>
      <c r="C201" s="20" t="s">
        <v>9</v>
      </c>
      <c r="D201" s="21" t="s">
        <v>915</v>
      </c>
      <c r="E201" s="20">
        <v>2018</v>
      </c>
      <c r="F201" s="20">
        <v>5</v>
      </c>
      <c r="G201" s="20" t="s">
        <v>342</v>
      </c>
      <c r="H201" s="20" t="s">
        <v>342</v>
      </c>
      <c r="I201" s="20" t="s">
        <v>366</v>
      </c>
      <c r="J201" s="20">
        <v>4100</v>
      </c>
      <c r="K201" s="20" t="s">
        <v>66</v>
      </c>
      <c r="L201" s="20" t="s">
        <v>66</v>
      </c>
      <c r="M201" s="22">
        <v>0.44444444444444442</v>
      </c>
      <c r="N201" s="22">
        <v>0.52430555555555558</v>
      </c>
      <c r="O201" s="20">
        <v>90</v>
      </c>
      <c r="P201" s="20">
        <v>275</v>
      </c>
      <c r="Q201" s="20" t="s">
        <v>916</v>
      </c>
      <c r="R201" s="20">
        <v>0</v>
      </c>
      <c r="S201" s="20" t="s">
        <v>514</v>
      </c>
      <c r="T201" s="20" t="s">
        <v>12</v>
      </c>
      <c r="U201" s="20" t="s">
        <v>13</v>
      </c>
      <c r="V201" s="20" t="s">
        <v>14</v>
      </c>
      <c r="W201" s="20" t="s">
        <v>15</v>
      </c>
      <c r="X201" s="20">
        <v>31625</v>
      </c>
      <c r="Y201" s="20">
        <v>115</v>
      </c>
      <c r="Z201" s="20">
        <v>5.9249999999999997E-2</v>
      </c>
      <c r="AA201" s="20">
        <v>533754</v>
      </c>
      <c r="AB201" s="20">
        <v>5.9250141450930577E-2</v>
      </c>
      <c r="AC201" s="20">
        <v>0.17199999999999999</v>
      </c>
      <c r="AD201" s="20" t="s">
        <v>16</v>
      </c>
      <c r="AE201" s="20" t="s">
        <v>17</v>
      </c>
      <c r="AF201" s="20">
        <v>0</v>
      </c>
      <c r="AG201" s="20" t="s">
        <v>916</v>
      </c>
      <c r="AH201" s="20" t="s">
        <v>917</v>
      </c>
      <c r="AI201" s="20" t="s">
        <v>15</v>
      </c>
      <c r="AJ201" s="20">
        <v>-1</v>
      </c>
      <c r="AK201" s="20" t="s">
        <v>15</v>
      </c>
      <c r="AL201" s="20">
        <v>-1</v>
      </c>
      <c r="AM201" s="20" t="s">
        <v>18</v>
      </c>
      <c r="AN201">
        <v>199</v>
      </c>
    </row>
    <row r="202" spans="1:40" x14ac:dyDescent="0.25">
      <c r="A202" s="20" t="s">
        <v>7</v>
      </c>
      <c r="B202" s="21" t="s">
        <v>8</v>
      </c>
      <c r="C202" s="20" t="s">
        <v>9</v>
      </c>
      <c r="D202" s="21" t="s">
        <v>918</v>
      </c>
      <c r="E202" s="20">
        <v>2018</v>
      </c>
      <c r="F202" s="20">
        <v>5</v>
      </c>
      <c r="G202" s="20" t="s">
        <v>342</v>
      </c>
      <c r="H202" s="20" t="s">
        <v>342</v>
      </c>
      <c r="I202" s="20" t="s">
        <v>343</v>
      </c>
      <c r="J202" s="20">
        <v>4050</v>
      </c>
      <c r="K202" s="20" t="s">
        <v>66</v>
      </c>
      <c r="L202" s="20" t="s">
        <v>66</v>
      </c>
      <c r="M202" s="22">
        <v>0.35555555555555557</v>
      </c>
      <c r="N202" s="22">
        <v>0.4236111111111111</v>
      </c>
      <c r="O202" s="20">
        <v>59</v>
      </c>
      <c r="P202" s="20">
        <v>65</v>
      </c>
      <c r="Q202" s="20" t="s">
        <v>919</v>
      </c>
      <c r="R202" s="20">
        <v>0</v>
      </c>
      <c r="S202" s="20" t="s">
        <v>11</v>
      </c>
      <c r="T202" s="20" t="s">
        <v>12</v>
      </c>
      <c r="U202" s="20" t="s">
        <v>13</v>
      </c>
      <c r="V202" s="20" t="s">
        <v>14</v>
      </c>
      <c r="W202" s="20" t="s">
        <v>15</v>
      </c>
      <c r="X202" s="20">
        <v>6370</v>
      </c>
      <c r="Y202" s="20">
        <v>98</v>
      </c>
      <c r="Z202" s="20">
        <v>1.1934E-2</v>
      </c>
      <c r="AA202" s="20">
        <v>533754</v>
      </c>
      <c r="AB202" s="20">
        <v>1.1934336791855423E-2</v>
      </c>
      <c r="AC202" s="20">
        <v>9.6000000000000002E-2</v>
      </c>
      <c r="AD202" s="20" t="s">
        <v>16</v>
      </c>
      <c r="AE202" s="20" t="s">
        <v>17</v>
      </c>
      <c r="AF202" s="20">
        <v>0</v>
      </c>
      <c r="AG202" s="20" t="s">
        <v>919</v>
      </c>
      <c r="AH202" s="20" t="s">
        <v>386</v>
      </c>
      <c r="AI202" s="20" t="s">
        <v>15</v>
      </c>
      <c r="AJ202" s="20">
        <v>-1</v>
      </c>
      <c r="AK202" s="20" t="s">
        <v>15</v>
      </c>
      <c r="AL202" s="20">
        <v>-1</v>
      </c>
      <c r="AM202" s="20" t="s">
        <v>920</v>
      </c>
      <c r="AN202">
        <v>200</v>
      </c>
    </row>
    <row r="203" spans="1:40" x14ac:dyDescent="0.25">
      <c r="A203" s="20" t="s">
        <v>7</v>
      </c>
      <c r="B203" s="21" t="s">
        <v>8</v>
      </c>
      <c r="C203" s="20" t="s">
        <v>9</v>
      </c>
      <c r="D203" s="21" t="s">
        <v>921</v>
      </c>
      <c r="E203" s="20">
        <v>2018</v>
      </c>
      <c r="F203" s="20">
        <v>5</v>
      </c>
      <c r="G203" s="20" t="s">
        <v>342</v>
      </c>
      <c r="H203" s="20" t="s">
        <v>342</v>
      </c>
      <c r="I203" s="20" t="s">
        <v>366</v>
      </c>
      <c r="J203" s="20">
        <v>4100</v>
      </c>
      <c r="K203" s="20" t="s">
        <v>66</v>
      </c>
      <c r="L203" s="20" t="s">
        <v>66</v>
      </c>
      <c r="M203" s="22">
        <v>0.4145833333333333</v>
      </c>
      <c r="N203" s="22">
        <v>0.44444444444444442</v>
      </c>
      <c r="O203" s="20">
        <v>430</v>
      </c>
      <c r="P203" s="20">
        <v>790</v>
      </c>
      <c r="Q203" s="20" t="s">
        <v>20</v>
      </c>
      <c r="R203" s="20">
        <v>0</v>
      </c>
      <c r="S203" s="20" t="s">
        <v>514</v>
      </c>
      <c r="T203" s="20" t="s">
        <v>12</v>
      </c>
      <c r="U203" s="20" t="s">
        <v>13</v>
      </c>
      <c r="V203" s="20" t="s">
        <v>14</v>
      </c>
      <c r="W203" s="20"/>
      <c r="X203" s="20">
        <v>33970</v>
      </c>
      <c r="Y203" s="20">
        <v>43</v>
      </c>
      <c r="Z203" s="20">
        <v>6.3644000000000006E-2</v>
      </c>
      <c r="AA203" s="20">
        <v>533754</v>
      </c>
      <c r="AB203" s="20">
        <v>6.3643551149031197E-2</v>
      </c>
      <c r="AC203" s="20">
        <v>0.308</v>
      </c>
      <c r="AD203" s="20" t="s">
        <v>16</v>
      </c>
      <c r="AE203" s="20" t="s">
        <v>21</v>
      </c>
      <c r="AF203" s="20" t="s">
        <v>922</v>
      </c>
      <c r="AG203" s="20">
        <v>0</v>
      </c>
      <c r="AH203" s="20" t="s">
        <v>917</v>
      </c>
      <c r="AI203" s="20" t="s">
        <v>15</v>
      </c>
      <c r="AJ203" s="20">
        <v>-1</v>
      </c>
      <c r="AK203" s="20" t="s">
        <v>15</v>
      </c>
      <c r="AL203" s="20">
        <v>-1</v>
      </c>
      <c r="AM203" s="20" t="s">
        <v>18</v>
      </c>
      <c r="AN203">
        <v>201</v>
      </c>
    </row>
    <row r="204" spans="1:40" x14ac:dyDescent="0.25">
      <c r="A204" s="20" t="s">
        <v>7</v>
      </c>
      <c r="B204" s="21" t="s">
        <v>8</v>
      </c>
      <c r="C204" s="20" t="s">
        <v>9</v>
      </c>
      <c r="D204" s="21" t="s">
        <v>923</v>
      </c>
      <c r="E204" s="20">
        <v>2018</v>
      </c>
      <c r="F204" s="20">
        <v>5</v>
      </c>
      <c r="G204" s="20" t="s">
        <v>342</v>
      </c>
      <c r="H204" s="20" t="s">
        <v>342</v>
      </c>
      <c r="I204" s="20" t="s">
        <v>366</v>
      </c>
      <c r="J204" s="20">
        <v>4100</v>
      </c>
      <c r="K204" s="20" t="s">
        <v>66</v>
      </c>
      <c r="L204" s="20" t="s">
        <v>66</v>
      </c>
      <c r="M204" s="22">
        <v>0.3979166666666667</v>
      </c>
      <c r="N204" s="22">
        <v>0.4145833333333333</v>
      </c>
      <c r="O204" s="20">
        <v>995</v>
      </c>
      <c r="P204" s="20">
        <v>2348</v>
      </c>
      <c r="Q204" s="20" t="s">
        <v>20</v>
      </c>
      <c r="R204" s="20">
        <v>0</v>
      </c>
      <c r="S204" s="20" t="s">
        <v>514</v>
      </c>
      <c r="T204" s="20" t="s">
        <v>12</v>
      </c>
      <c r="U204" s="20" t="s">
        <v>13</v>
      </c>
      <c r="V204" s="20" t="s">
        <v>14</v>
      </c>
      <c r="W204" s="20"/>
      <c r="X204" s="20">
        <v>56352</v>
      </c>
      <c r="Y204" s="20">
        <v>24</v>
      </c>
      <c r="Z204" s="20">
        <v>0.105577</v>
      </c>
      <c r="AA204" s="20">
        <v>533754</v>
      </c>
      <c r="AB204" s="20">
        <v>0.10557672635708584</v>
      </c>
      <c r="AC204" s="20">
        <v>0.39800000000000002</v>
      </c>
      <c r="AD204" s="20" t="s">
        <v>16</v>
      </c>
      <c r="AE204" s="20" t="s">
        <v>21</v>
      </c>
      <c r="AF204" s="20">
        <v>4100</v>
      </c>
      <c r="AG204" s="20">
        <v>0</v>
      </c>
      <c r="AH204" s="20" t="s">
        <v>917</v>
      </c>
      <c r="AI204" s="20" t="s">
        <v>15</v>
      </c>
      <c r="AJ204" s="20">
        <v>-1</v>
      </c>
      <c r="AK204" s="20" t="s">
        <v>15</v>
      </c>
      <c r="AL204" s="20">
        <v>-1</v>
      </c>
      <c r="AM204" s="20" t="s">
        <v>18</v>
      </c>
      <c r="AN204">
        <v>202</v>
      </c>
    </row>
    <row r="205" spans="1:40" x14ac:dyDescent="0.25">
      <c r="A205" s="20" t="s">
        <v>7</v>
      </c>
      <c r="B205" s="21" t="s">
        <v>8</v>
      </c>
      <c r="C205" s="20" t="s">
        <v>9</v>
      </c>
      <c r="D205" s="21" t="s">
        <v>924</v>
      </c>
      <c r="E205" s="20">
        <v>2018</v>
      </c>
      <c r="F205" s="20">
        <v>5</v>
      </c>
      <c r="G205" s="20" t="s">
        <v>342</v>
      </c>
      <c r="H205" s="20" t="s">
        <v>342</v>
      </c>
      <c r="I205" s="20" t="s">
        <v>366</v>
      </c>
      <c r="J205" s="20">
        <v>4090</v>
      </c>
      <c r="K205" s="20" t="s">
        <v>925</v>
      </c>
      <c r="L205" s="20" t="s">
        <v>925</v>
      </c>
      <c r="M205" s="22">
        <v>0.73402777777777783</v>
      </c>
      <c r="N205" s="22">
        <v>0.82500000000000007</v>
      </c>
      <c r="O205" s="20">
        <v>95</v>
      </c>
      <c r="P205" s="20">
        <v>65</v>
      </c>
      <c r="Q205" s="20" t="s">
        <v>926</v>
      </c>
      <c r="R205" s="20">
        <v>0</v>
      </c>
      <c r="S205" s="20" t="s">
        <v>11</v>
      </c>
      <c r="T205" s="20" t="s">
        <v>19</v>
      </c>
      <c r="U205" s="20" t="s">
        <v>13</v>
      </c>
      <c r="V205" s="20" t="s">
        <v>14</v>
      </c>
      <c r="W205" s="20" t="s">
        <v>15</v>
      </c>
      <c r="X205" s="20">
        <v>8515</v>
      </c>
      <c r="Y205" s="20">
        <v>131</v>
      </c>
      <c r="Z205" s="20">
        <v>1.5952999999999998E-2</v>
      </c>
      <c r="AA205" s="20">
        <v>533754</v>
      </c>
      <c r="AB205" s="20">
        <v>1.5953042038092453E-2</v>
      </c>
      <c r="AC205" s="20">
        <v>0.20699999999999999</v>
      </c>
      <c r="AD205" s="20" t="s">
        <v>16</v>
      </c>
      <c r="AE205" s="20" t="s">
        <v>17</v>
      </c>
      <c r="AF205" s="20">
        <v>0</v>
      </c>
      <c r="AG205" s="20" t="s">
        <v>926</v>
      </c>
      <c r="AH205" s="20" t="s">
        <v>479</v>
      </c>
      <c r="AI205" s="20" t="s">
        <v>15</v>
      </c>
      <c r="AJ205" s="20">
        <v>-1</v>
      </c>
      <c r="AK205" s="20" t="s">
        <v>15</v>
      </c>
      <c r="AL205" s="20">
        <v>-1</v>
      </c>
      <c r="AM205" s="20" t="s">
        <v>927</v>
      </c>
      <c r="AN205">
        <v>203</v>
      </c>
    </row>
    <row r="206" spans="1:40" x14ac:dyDescent="0.25">
      <c r="A206" s="20" t="s">
        <v>7</v>
      </c>
      <c r="B206" s="21" t="s">
        <v>8</v>
      </c>
      <c r="C206" s="20" t="s">
        <v>9</v>
      </c>
      <c r="D206" s="21" t="s">
        <v>928</v>
      </c>
      <c r="E206" s="20">
        <v>2018</v>
      </c>
      <c r="F206" s="20">
        <v>5</v>
      </c>
      <c r="G206" s="20" t="s">
        <v>329</v>
      </c>
      <c r="H206" s="20" t="s">
        <v>10</v>
      </c>
      <c r="I206" s="20" t="s">
        <v>376</v>
      </c>
      <c r="J206" s="20">
        <v>4010</v>
      </c>
      <c r="K206" s="20" t="s">
        <v>929</v>
      </c>
      <c r="L206" s="20" t="s">
        <v>929</v>
      </c>
      <c r="M206" s="22">
        <v>0.39930555555555558</v>
      </c>
      <c r="N206" s="22">
        <v>0.4680555555555555</v>
      </c>
      <c r="O206" s="20">
        <v>55</v>
      </c>
      <c r="P206" s="20">
        <v>54</v>
      </c>
      <c r="Q206" s="20" t="s">
        <v>377</v>
      </c>
      <c r="R206" s="20">
        <v>100</v>
      </c>
      <c r="S206" s="20" t="s">
        <v>11</v>
      </c>
      <c r="T206" s="20" t="s">
        <v>19</v>
      </c>
      <c r="U206" s="20" t="s">
        <v>13</v>
      </c>
      <c r="V206" s="20" t="s">
        <v>14</v>
      </c>
      <c r="W206" s="20" t="s">
        <v>15</v>
      </c>
      <c r="X206" s="20">
        <v>5346</v>
      </c>
      <c r="Y206" s="20">
        <v>99</v>
      </c>
      <c r="Z206" s="20">
        <v>1.0016000000000001E-2</v>
      </c>
      <c r="AA206" s="20">
        <v>533754</v>
      </c>
      <c r="AB206" s="20">
        <v>1.0015849998313829E-2</v>
      </c>
      <c r="AC206" s="20">
        <v>9.0999999999999998E-2</v>
      </c>
      <c r="AD206" s="20" t="s">
        <v>16</v>
      </c>
      <c r="AE206" s="20" t="s">
        <v>17</v>
      </c>
      <c r="AF206" s="20">
        <v>0</v>
      </c>
      <c r="AG206" s="20" t="s">
        <v>377</v>
      </c>
      <c r="AH206" s="20" t="s">
        <v>401</v>
      </c>
      <c r="AI206" s="20" t="s">
        <v>15</v>
      </c>
      <c r="AJ206" s="20">
        <v>-1</v>
      </c>
      <c r="AK206" s="20" t="s">
        <v>15</v>
      </c>
      <c r="AL206" s="20">
        <v>-1</v>
      </c>
      <c r="AM206" s="20" t="s">
        <v>930</v>
      </c>
      <c r="AN206">
        <v>204</v>
      </c>
    </row>
    <row r="207" spans="1:40" x14ac:dyDescent="0.25">
      <c r="A207" s="20" t="s">
        <v>7</v>
      </c>
      <c r="B207" s="21" t="s">
        <v>8</v>
      </c>
      <c r="C207" s="20" t="s">
        <v>9</v>
      </c>
      <c r="D207" s="21" t="s">
        <v>931</v>
      </c>
      <c r="E207" s="20">
        <v>2018</v>
      </c>
      <c r="F207" s="20">
        <v>5</v>
      </c>
      <c r="G207" s="20" t="s">
        <v>342</v>
      </c>
      <c r="H207" s="20" t="s">
        <v>342</v>
      </c>
      <c r="I207" s="20" t="s">
        <v>366</v>
      </c>
      <c r="J207" s="20">
        <v>4020</v>
      </c>
      <c r="K207" s="20" t="s">
        <v>929</v>
      </c>
      <c r="L207" s="20" t="s">
        <v>929</v>
      </c>
      <c r="M207" s="22">
        <v>0.10555555555555556</v>
      </c>
      <c r="N207" s="22">
        <v>0.55763888888888891</v>
      </c>
      <c r="O207" s="20">
        <v>120</v>
      </c>
      <c r="P207" s="20">
        <v>36</v>
      </c>
      <c r="Q207" s="20" t="s">
        <v>932</v>
      </c>
      <c r="R207" s="20">
        <v>0</v>
      </c>
      <c r="S207" s="20" t="s">
        <v>11</v>
      </c>
      <c r="T207" s="20" t="s">
        <v>19</v>
      </c>
      <c r="U207" s="20" t="s">
        <v>13</v>
      </c>
      <c r="V207" s="20" t="s">
        <v>14</v>
      </c>
      <c r="W207" s="20" t="s">
        <v>15</v>
      </c>
      <c r="X207" s="20">
        <v>23436</v>
      </c>
      <c r="Y207" s="20">
        <v>651</v>
      </c>
      <c r="Z207" s="20">
        <v>4.3908000000000003E-2</v>
      </c>
      <c r="AA207" s="20">
        <v>533754</v>
      </c>
      <c r="AB207" s="20">
        <v>4.390786766937578E-2</v>
      </c>
      <c r="AC207" s="20">
        <v>1.302</v>
      </c>
      <c r="AD207" s="20" t="s">
        <v>16</v>
      </c>
      <c r="AE207" s="20" t="s">
        <v>17</v>
      </c>
      <c r="AF207" s="20">
        <v>0</v>
      </c>
      <c r="AG207" s="20" t="s">
        <v>932</v>
      </c>
      <c r="AH207" s="20" t="s">
        <v>933</v>
      </c>
      <c r="AI207" s="20" t="s">
        <v>15</v>
      </c>
      <c r="AJ207" s="20">
        <v>-1</v>
      </c>
      <c r="AK207" s="20" t="s">
        <v>15</v>
      </c>
      <c r="AL207" s="20">
        <v>-1</v>
      </c>
      <c r="AM207" s="20" t="s">
        <v>934</v>
      </c>
      <c r="AN207">
        <v>205</v>
      </c>
    </row>
    <row r="208" spans="1:40" x14ac:dyDescent="0.25">
      <c r="A208" s="20" t="s">
        <v>7</v>
      </c>
      <c r="B208" s="21" t="s">
        <v>8</v>
      </c>
      <c r="C208" s="20" t="s">
        <v>9</v>
      </c>
      <c r="D208" s="21" t="s">
        <v>935</v>
      </c>
      <c r="E208" s="20">
        <v>2018</v>
      </c>
      <c r="F208" s="20">
        <v>5</v>
      </c>
      <c r="G208" s="20" t="s">
        <v>323</v>
      </c>
      <c r="H208" s="20" t="s">
        <v>10</v>
      </c>
      <c r="I208" s="20" t="s">
        <v>381</v>
      </c>
      <c r="J208" s="20">
        <v>4010</v>
      </c>
      <c r="K208" s="20" t="s">
        <v>936</v>
      </c>
      <c r="L208" s="20" t="s">
        <v>936</v>
      </c>
      <c r="M208" s="22">
        <v>0.59305555555555556</v>
      </c>
      <c r="N208" s="22">
        <v>0.86805555555555547</v>
      </c>
      <c r="O208" s="20">
        <v>5</v>
      </c>
      <c r="P208" s="20">
        <v>15</v>
      </c>
      <c r="Q208" s="20" t="s">
        <v>937</v>
      </c>
      <c r="R208" s="20">
        <v>100</v>
      </c>
      <c r="S208" s="20" t="s">
        <v>11</v>
      </c>
      <c r="T208" s="20" t="s">
        <v>19</v>
      </c>
      <c r="U208" s="20" t="s">
        <v>13</v>
      </c>
      <c r="V208" s="20" t="s">
        <v>14</v>
      </c>
      <c r="W208" s="20" t="s">
        <v>15</v>
      </c>
      <c r="X208" s="20">
        <v>5940</v>
      </c>
      <c r="Y208" s="20">
        <v>396</v>
      </c>
      <c r="Z208" s="20">
        <v>1.1129E-2</v>
      </c>
      <c r="AA208" s="20">
        <v>533754</v>
      </c>
      <c r="AB208" s="20">
        <v>1.11287222203487E-2</v>
      </c>
      <c r="AC208" s="20">
        <v>3.3000000000000002E-2</v>
      </c>
      <c r="AD208" s="20" t="s">
        <v>16</v>
      </c>
      <c r="AE208" s="20" t="s">
        <v>17</v>
      </c>
      <c r="AF208" s="20">
        <v>0</v>
      </c>
      <c r="AG208" s="20" t="s">
        <v>937</v>
      </c>
      <c r="AH208" s="20" t="s">
        <v>708</v>
      </c>
      <c r="AI208" s="20" t="s">
        <v>15</v>
      </c>
      <c r="AJ208" s="20">
        <v>-1</v>
      </c>
      <c r="AK208" s="20" t="s">
        <v>15</v>
      </c>
      <c r="AL208" s="20">
        <v>-1</v>
      </c>
      <c r="AM208" s="20" t="s">
        <v>938</v>
      </c>
      <c r="AN208">
        <v>206</v>
      </c>
    </row>
    <row r="209" spans="1:40" x14ac:dyDescent="0.25">
      <c r="A209" s="20" t="s">
        <v>7</v>
      </c>
      <c r="B209" s="21" t="s">
        <v>8</v>
      </c>
      <c r="C209" s="20" t="s">
        <v>9</v>
      </c>
      <c r="D209" s="21" t="s">
        <v>939</v>
      </c>
      <c r="E209" s="20">
        <v>2018</v>
      </c>
      <c r="F209" s="20">
        <v>5</v>
      </c>
      <c r="G209" s="20" t="s">
        <v>449</v>
      </c>
      <c r="H209" s="20" t="s">
        <v>10</v>
      </c>
      <c r="I209" s="20" t="s">
        <v>551</v>
      </c>
      <c r="J209" s="20">
        <v>4035</v>
      </c>
      <c r="K209" s="20" t="s">
        <v>936</v>
      </c>
      <c r="L209" s="20" t="s">
        <v>936</v>
      </c>
      <c r="M209" s="22">
        <v>0.44513888888888892</v>
      </c>
      <c r="N209" s="22">
        <v>0.48680555555555555</v>
      </c>
      <c r="O209" s="20">
        <v>45</v>
      </c>
      <c r="P209" s="20">
        <v>36</v>
      </c>
      <c r="Q209" s="20" t="s">
        <v>940</v>
      </c>
      <c r="R209" s="20">
        <v>100</v>
      </c>
      <c r="S209" s="20" t="s">
        <v>25</v>
      </c>
      <c r="T209" s="20" t="s">
        <v>26</v>
      </c>
      <c r="U209" s="20" t="s">
        <v>13</v>
      </c>
      <c r="V209" s="20" t="s">
        <v>14</v>
      </c>
      <c r="W209" s="20" t="s">
        <v>15</v>
      </c>
      <c r="X209" s="20">
        <v>2160</v>
      </c>
      <c r="Y209" s="20">
        <v>60</v>
      </c>
      <c r="Z209" s="20">
        <v>4.0470000000000002E-3</v>
      </c>
      <c r="AA209" s="20">
        <v>533754</v>
      </c>
      <c r="AB209" s="20">
        <v>4.0468080801268E-3</v>
      </c>
      <c r="AC209" s="20">
        <v>4.4999999999999998E-2</v>
      </c>
      <c r="AD209" s="20" t="s">
        <v>16</v>
      </c>
      <c r="AE209" s="20" t="s">
        <v>17</v>
      </c>
      <c r="AF209" s="20">
        <v>0</v>
      </c>
      <c r="AG209" s="20" t="s">
        <v>940</v>
      </c>
      <c r="AH209" s="20" t="s">
        <v>941</v>
      </c>
      <c r="AI209" s="20" t="s">
        <v>15</v>
      </c>
      <c r="AJ209" s="20">
        <v>-1</v>
      </c>
      <c r="AK209" s="20" t="s">
        <v>15</v>
      </c>
      <c r="AL209" s="20">
        <v>-1</v>
      </c>
      <c r="AM209" s="20" t="s">
        <v>942</v>
      </c>
      <c r="AN209">
        <v>207</v>
      </c>
    </row>
    <row r="210" spans="1:40" x14ac:dyDescent="0.25">
      <c r="A210" s="20" t="s">
        <v>7</v>
      </c>
      <c r="B210" s="21" t="s">
        <v>8</v>
      </c>
      <c r="C210" s="20" t="s">
        <v>9</v>
      </c>
      <c r="D210" s="21" t="s">
        <v>943</v>
      </c>
      <c r="E210" s="20">
        <v>2018</v>
      </c>
      <c r="F210" s="20">
        <v>5</v>
      </c>
      <c r="G210" s="20" t="s">
        <v>342</v>
      </c>
      <c r="H210" s="20" t="s">
        <v>342</v>
      </c>
      <c r="I210" s="20" t="s">
        <v>397</v>
      </c>
      <c r="J210" s="20">
        <v>4015</v>
      </c>
      <c r="K210" s="20" t="s">
        <v>936</v>
      </c>
      <c r="L210" s="20" t="s">
        <v>936</v>
      </c>
      <c r="M210" s="22">
        <v>0.51250000000000007</v>
      </c>
      <c r="N210" s="22">
        <v>0.60069444444444442</v>
      </c>
      <c r="O210" s="20">
        <v>60</v>
      </c>
      <c r="P210" s="20">
        <v>130</v>
      </c>
      <c r="Q210" s="20" t="s">
        <v>944</v>
      </c>
      <c r="R210" s="20">
        <v>0</v>
      </c>
      <c r="S210" s="20" t="s">
        <v>11</v>
      </c>
      <c r="T210" s="20" t="s">
        <v>51</v>
      </c>
      <c r="U210" s="20" t="s">
        <v>13</v>
      </c>
      <c r="V210" s="20" t="s">
        <v>14</v>
      </c>
      <c r="W210" s="20" t="s">
        <v>15</v>
      </c>
      <c r="X210" s="20">
        <v>16510</v>
      </c>
      <c r="Y210" s="20">
        <v>127</v>
      </c>
      <c r="Z210" s="20">
        <v>3.0932000000000001E-2</v>
      </c>
      <c r="AA210" s="20">
        <v>533754</v>
      </c>
      <c r="AB210" s="20">
        <v>3.093185250133957E-2</v>
      </c>
      <c r="AC210" s="20">
        <v>0.127</v>
      </c>
      <c r="AD210" s="20" t="s">
        <v>16</v>
      </c>
      <c r="AE210" s="20" t="s">
        <v>17</v>
      </c>
      <c r="AF210" s="20">
        <v>0</v>
      </c>
      <c r="AG210" s="20" t="s">
        <v>944</v>
      </c>
      <c r="AH210" s="20" t="s">
        <v>855</v>
      </c>
      <c r="AI210" s="20" t="s">
        <v>15</v>
      </c>
      <c r="AJ210" s="20">
        <v>-1</v>
      </c>
      <c r="AK210" s="20" t="s">
        <v>15</v>
      </c>
      <c r="AL210" s="20">
        <v>-1</v>
      </c>
      <c r="AM210" s="20" t="s">
        <v>945</v>
      </c>
      <c r="AN210">
        <v>208</v>
      </c>
    </row>
    <row r="211" spans="1:40" x14ac:dyDescent="0.25">
      <c r="A211" s="20" t="s">
        <v>7</v>
      </c>
      <c r="B211" s="21" t="s">
        <v>8</v>
      </c>
      <c r="C211" s="20" t="s">
        <v>9</v>
      </c>
      <c r="D211" s="21" t="s">
        <v>946</v>
      </c>
      <c r="E211" s="20">
        <v>2018</v>
      </c>
      <c r="F211" s="20">
        <v>5</v>
      </c>
      <c r="G211" s="20" t="s">
        <v>329</v>
      </c>
      <c r="H211" s="20" t="s">
        <v>10</v>
      </c>
      <c r="I211" s="20" t="s">
        <v>352</v>
      </c>
      <c r="J211" s="20">
        <v>4010</v>
      </c>
      <c r="K211" s="20" t="s">
        <v>67</v>
      </c>
      <c r="L211" s="20" t="s">
        <v>67</v>
      </c>
      <c r="M211" s="22">
        <v>0.4368055555555555</v>
      </c>
      <c r="N211" s="22">
        <v>0.78472222222222221</v>
      </c>
      <c r="O211" s="20">
        <v>40</v>
      </c>
      <c r="P211" s="20">
        <v>34</v>
      </c>
      <c r="Q211" s="20" t="s">
        <v>947</v>
      </c>
      <c r="R211" s="20">
        <v>100</v>
      </c>
      <c r="S211" s="20" t="s">
        <v>11</v>
      </c>
      <c r="T211" s="20" t="s">
        <v>12</v>
      </c>
      <c r="U211" s="20" t="s">
        <v>13</v>
      </c>
      <c r="V211" s="20" t="s">
        <v>14</v>
      </c>
      <c r="W211" s="20" t="s">
        <v>15</v>
      </c>
      <c r="X211" s="20">
        <v>17034</v>
      </c>
      <c r="Y211" s="20">
        <v>501</v>
      </c>
      <c r="Z211" s="20">
        <v>3.1913999999999998E-2</v>
      </c>
      <c r="AA211" s="20">
        <v>533754</v>
      </c>
      <c r="AB211" s="20">
        <v>3.1913578165222181E-2</v>
      </c>
      <c r="AC211" s="20">
        <v>0.33400000000000002</v>
      </c>
      <c r="AD211" s="20" t="s">
        <v>16</v>
      </c>
      <c r="AE211" s="20" t="s">
        <v>17</v>
      </c>
      <c r="AF211" s="20">
        <v>0</v>
      </c>
      <c r="AG211" s="20" t="s">
        <v>947</v>
      </c>
      <c r="AH211" s="20" t="s">
        <v>339</v>
      </c>
      <c r="AI211" s="20" t="s">
        <v>15</v>
      </c>
      <c r="AJ211" s="20">
        <v>-1</v>
      </c>
      <c r="AK211" s="20" t="s">
        <v>15</v>
      </c>
      <c r="AL211" s="20">
        <v>-1</v>
      </c>
      <c r="AM211" s="20" t="s">
        <v>948</v>
      </c>
      <c r="AN211">
        <v>209</v>
      </c>
    </row>
    <row r="212" spans="1:40" x14ac:dyDescent="0.25">
      <c r="A212" s="20" t="s">
        <v>7</v>
      </c>
      <c r="B212" s="21" t="s">
        <v>8</v>
      </c>
      <c r="C212" s="20" t="s">
        <v>9</v>
      </c>
      <c r="D212" s="21" t="s">
        <v>949</v>
      </c>
      <c r="E212" s="20">
        <v>2018</v>
      </c>
      <c r="F212" s="20">
        <v>5</v>
      </c>
      <c r="G212" s="20" t="s">
        <v>323</v>
      </c>
      <c r="H212" s="20" t="s">
        <v>10</v>
      </c>
      <c r="I212" s="20" t="s">
        <v>381</v>
      </c>
      <c r="J212" s="20">
        <v>4040</v>
      </c>
      <c r="K212" s="20" t="s">
        <v>67</v>
      </c>
      <c r="L212" s="20" t="s">
        <v>67</v>
      </c>
      <c r="M212" s="22">
        <v>0.32777777777777778</v>
      </c>
      <c r="N212" s="22">
        <v>0.46180555555555558</v>
      </c>
      <c r="O212" s="20">
        <v>65</v>
      </c>
      <c r="P212" s="20">
        <v>75</v>
      </c>
      <c r="Q212" s="20" t="s">
        <v>858</v>
      </c>
      <c r="R212" s="20">
        <v>100</v>
      </c>
      <c r="S212" s="20" t="s">
        <v>11</v>
      </c>
      <c r="T212" s="20" t="s">
        <v>19</v>
      </c>
      <c r="U212" s="20" t="s">
        <v>13</v>
      </c>
      <c r="V212" s="20" t="s">
        <v>14</v>
      </c>
      <c r="W212" s="20" t="s">
        <v>15</v>
      </c>
      <c r="X212" s="20">
        <v>14475</v>
      </c>
      <c r="Y212" s="20">
        <v>193</v>
      </c>
      <c r="Z212" s="20">
        <v>2.7119000000000001E-2</v>
      </c>
      <c r="AA212" s="20">
        <v>533754</v>
      </c>
      <c r="AB212" s="20">
        <v>2.7119234703627513E-2</v>
      </c>
      <c r="AC212" s="20">
        <v>0.20899999999999999</v>
      </c>
      <c r="AD212" s="20" t="s">
        <v>16</v>
      </c>
      <c r="AE212" s="20" t="s">
        <v>17</v>
      </c>
      <c r="AF212" s="20">
        <v>0</v>
      </c>
      <c r="AG212" s="20" t="s">
        <v>858</v>
      </c>
      <c r="AH212" s="20" t="s">
        <v>790</v>
      </c>
      <c r="AI212" s="20" t="s">
        <v>15</v>
      </c>
      <c r="AJ212" s="20">
        <v>-1</v>
      </c>
      <c r="AK212" s="20" t="s">
        <v>15</v>
      </c>
      <c r="AL212" s="20">
        <v>-1</v>
      </c>
      <c r="AM212" s="20" t="s">
        <v>950</v>
      </c>
      <c r="AN212">
        <v>210</v>
      </c>
    </row>
    <row r="213" spans="1:40" x14ac:dyDescent="0.25">
      <c r="A213" s="20" t="s">
        <v>7</v>
      </c>
      <c r="B213" s="21" t="s">
        <v>8</v>
      </c>
      <c r="C213" s="20" t="s">
        <v>9</v>
      </c>
      <c r="D213" s="21" t="s">
        <v>951</v>
      </c>
      <c r="E213" s="20">
        <v>2018</v>
      </c>
      <c r="F213" s="20">
        <v>5</v>
      </c>
      <c r="G213" s="20" t="s">
        <v>342</v>
      </c>
      <c r="H213" s="20" t="s">
        <v>342</v>
      </c>
      <c r="I213" s="20" t="s">
        <v>343</v>
      </c>
      <c r="J213" s="20">
        <v>4020</v>
      </c>
      <c r="K213" s="20" t="s">
        <v>67</v>
      </c>
      <c r="L213" s="20" t="s">
        <v>67</v>
      </c>
      <c r="M213" s="22">
        <v>0.37152777777777773</v>
      </c>
      <c r="N213" s="22">
        <v>0.46736111111111112</v>
      </c>
      <c r="O213" s="20">
        <v>80</v>
      </c>
      <c r="P213" s="20">
        <v>75</v>
      </c>
      <c r="Q213" s="20" t="s">
        <v>952</v>
      </c>
      <c r="R213" s="20">
        <v>0</v>
      </c>
      <c r="S213" s="20" t="s">
        <v>11</v>
      </c>
      <c r="T213" s="20" t="s">
        <v>12</v>
      </c>
      <c r="U213" s="20" t="s">
        <v>13</v>
      </c>
      <c r="V213" s="20" t="s">
        <v>14</v>
      </c>
      <c r="W213" s="20" t="s">
        <v>15</v>
      </c>
      <c r="X213" s="20">
        <v>10350</v>
      </c>
      <c r="Y213" s="20">
        <v>138</v>
      </c>
      <c r="Z213" s="20">
        <v>1.9390999999999999E-2</v>
      </c>
      <c r="AA213" s="20">
        <v>533754</v>
      </c>
      <c r="AB213" s="20">
        <v>1.9390955383940915E-2</v>
      </c>
      <c r="AC213" s="20">
        <v>0.184</v>
      </c>
      <c r="AD213" s="20" t="s">
        <v>16</v>
      </c>
      <c r="AE213" s="20" t="s">
        <v>17</v>
      </c>
      <c r="AF213" s="20">
        <v>0</v>
      </c>
      <c r="AG213" s="20" t="s">
        <v>952</v>
      </c>
      <c r="AH213" s="20" t="s">
        <v>765</v>
      </c>
      <c r="AI213" s="20" t="s">
        <v>15</v>
      </c>
      <c r="AJ213" s="20">
        <v>-1</v>
      </c>
      <c r="AK213" s="20" t="s">
        <v>15</v>
      </c>
      <c r="AL213" s="20">
        <v>-1</v>
      </c>
      <c r="AM213" s="20" t="s">
        <v>953</v>
      </c>
      <c r="AN213">
        <v>211</v>
      </c>
    </row>
    <row r="214" spans="1:40" x14ac:dyDescent="0.25">
      <c r="A214" s="20" t="s">
        <v>7</v>
      </c>
      <c r="B214" s="21" t="s">
        <v>8</v>
      </c>
      <c r="C214" s="20" t="s">
        <v>9</v>
      </c>
      <c r="D214" s="21" t="s">
        <v>954</v>
      </c>
      <c r="E214" s="20">
        <v>2018</v>
      </c>
      <c r="F214" s="20">
        <v>5</v>
      </c>
      <c r="G214" s="20" t="s">
        <v>329</v>
      </c>
      <c r="H214" s="20" t="s">
        <v>10</v>
      </c>
      <c r="I214" s="20" t="s">
        <v>397</v>
      </c>
      <c r="J214" s="20">
        <v>4045</v>
      </c>
      <c r="K214" s="20" t="s">
        <v>67</v>
      </c>
      <c r="L214" s="20" t="s">
        <v>67</v>
      </c>
      <c r="M214" s="22">
        <v>0.35833333333333334</v>
      </c>
      <c r="N214" s="22">
        <v>0.58333333333333337</v>
      </c>
      <c r="O214" s="20">
        <v>73</v>
      </c>
      <c r="P214" s="20">
        <v>66</v>
      </c>
      <c r="Q214" s="20" t="s">
        <v>955</v>
      </c>
      <c r="R214" s="20">
        <v>100</v>
      </c>
      <c r="S214" s="20" t="s">
        <v>25</v>
      </c>
      <c r="T214" s="20" t="s">
        <v>26</v>
      </c>
      <c r="U214" s="20" t="s">
        <v>13</v>
      </c>
      <c r="V214" s="20" t="s">
        <v>14</v>
      </c>
      <c r="W214" s="20" t="s">
        <v>15</v>
      </c>
      <c r="X214" s="20">
        <v>21384</v>
      </c>
      <c r="Y214" s="20">
        <v>324</v>
      </c>
      <c r="Z214" s="20">
        <v>4.0063000000000001E-2</v>
      </c>
      <c r="AA214" s="20">
        <v>533754</v>
      </c>
      <c r="AB214" s="20">
        <v>4.0063399993255318E-2</v>
      </c>
      <c r="AC214" s="20">
        <v>0.39400000000000002</v>
      </c>
      <c r="AD214" s="20" t="s">
        <v>16</v>
      </c>
      <c r="AE214" s="20" t="s">
        <v>17</v>
      </c>
      <c r="AF214" s="20">
        <v>0</v>
      </c>
      <c r="AG214" s="20" t="s">
        <v>955</v>
      </c>
      <c r="AH214" s="20" t="s">
        <v>339</v>
      </c>
      <c r="AI214" s="20" t="s">
        <v>15</v>
      </c>
      <c r="AJ214" s="20">
        <v>-1</v>
      </c>
      <c r="AK214" s="20" t="s">
        <v>15</v>
      </c>
      <c r="AL214" s="20">
        <v>-1</v>
      </c>
      <c r="AM214" s="20" t="s">
        <v>956</v>
      </c>
      <c r="AN214">
        <v>212</v>
      </c>
    </row>
    <row r="215" spans="1:40" x14ac:dyDescent="0.25">
      <c r="A215" s="20" t="s">
        <v>7</v>
      </c>
      <c r="B215" s="21" t="s">
        <v>8</v>
      </c>
      <c r="C215" s="20" t="s">
        <v>9</v>
      </c>
      <c r="D215" s="21" t="s">
        <v>290</v>
      </c>
      <c r="E215" s="20">
        <v>2018</v>
      </c>
      <c r="F215" s="20">
        <v>5</v>
      </c>
      <c r="G215" s="20" t="s">
        <v>9</v>
      </c>
      <c r="H215" s="20" t="s">
        <v>10</v>
      </c>
      <c r="I215" s="20" t="s">
        <v>214</v>
      </c>
      <c r="J215" s="20">
        <v>4030</v>
      </c>
      <c r="K215" s="20" t="s">
        <v>67</v>
      </c>
      <c r="L215" s="20" t="s">
        <v>67</v>
      </c>
      <c r="M215" s="22">
        <v>0.50486111111111109</v>
      </c>
      <c r="N215" s="22">
        <v>0.63402777777777775</v>
      </c>
      <c r="O215" s="20">
        <v>34</v>
      </c>
      <c r="P215" s="20">
        <v>63</v>
      </c>
      <c r="Q215" s="20" t="s">
        <v>291</v>
      </c>
      <c r="R215" s="20">
        <v>100</v>
      </c>
      <c r="S215" s="20" t="s">
        <v>11</v>
      </c>
      <c r="T215" s="20" t="s">
        <v>51</v>
      </c>
      <c r="U215" s="20" t="s">
        <v>13</v>
      </c>
      <c r="V215" s="20" t="s">
        <v>14</v>
      </c>
      <c r="W215" s="20" t="s">
        <v>15</v>
      </c>
      <c r="X215" s="20">
        <v>11718</v>
      </c>
      <c r="Y215" s="20">
        <v>186</v>
      </c>
      <c r="Z215" s="20">
        <v>2.1954000000000001E-2</v>
      </c>
      <c r="AA215" s="20">
        <v>533754</v>
      </c>
      <c r="AB215" s="20">
        <v>2.195393383468789E-2</v>
      </c>
      <c r="AC215" s="20">
        <v>0.105</v>
      </c>
      <c r="AD215" s="20" t="s">
        <v>16</v>
      </c>
      <c r="AE215" s="20" t="s">
        <v>17</v>
      </c>
      <c r="AF215" s="20">
        <v>0</v>
      </c>
      <c r="AG215" s="20" t="s">
        <v>291</v>
      </c>
      <c r="AH215" s="20" t="s">
        <v>292</v>
      </c>
      <c r="AI215" s="20" t="s">
        <v>15</v>
      </c>
      <c r="AJ215" s="20">
        <v>-1</v>
      </c>
      <c r="AK215" s="20" t="s">
        <v>15</v>
      </c>
      <c r="AL215" s="20">
        <v>-1</v>
      </c>
      <c r="AM215" s="20" t="s">
        <v>293</v>
      </c>
      <c r="AN215">
        <v>213</v>
      </c>
    </row>
    <row r="216" spans="1:40" x14ac:dyDescent="0.25">
      <c r="A216" s="20" t="s">
        <v>7</v>
      </c>
      <c r="B216" s="21" t="s">
        <v>8</v>
      </c>
      <c r="C216" s="20" t="s">
        <v>9</v>
      </c>
      <c r="D216" s="21" t="s">
        <v>957</v>
      </c>
      <c r="E216" s="20">
        <v>2018</v>
      </c>
      <c r="F216" s="20">
        <v>5</v>
      </c>
      <c r="G216" s="20" t="s">
        <v>329</v>
      </c>
      <c r="H216" s="20" t="s">
        <v>10</v>
      </c>
      <c r="I216" s="20" t="s">
        <v>352</v>
      </c>
      <c r="J216" s="20">
        <v>4010</v>
      </c>
      <c r="K216" s="20" t="s">
        <v>67</v>
      </c>
      <c r="L216" s="20" t="s">
        <v>68</v>
      </c>
      <c r="M216" s="22">
        <v>0.82013888888888886</v>
      </c>
      <c r="N216" s="22">
        <v>0.56944444444444442</v>
      </c>
      <c r="O216" s="20">
        <v>40</v>
      </c>
      <c r="P216" s="20">
        <v>34</v>
      </c>
      <c r="Q216" s="20" t="s">
        <v>947</v>
      </c>
      <c r="R216" s="20">
        <v>100</v>
      </c>
      <c r="S216" s="20" t="s">
        <v>372</v>
      </c>
      <c r="T216" s="20" t="s">
        <v>958</v>
      </c>
      <c r="U216" s="20" t="s">
        <v>13</v>
      </c>
      <c r="V216" s="20" t="s">
        <v>14</v>
      </c>
      <c r="W216" s="20" t="s">
        <v>15</v>
      </c>
      <c r="X216" s="20">
        <v>36686</v>
      </c>
      <c r="Y216" s="20">
        <v>1079</v>
      </c>
      <c r="Z216" s="20">
        <v>6.8732000000000001E-2</v>
      </c>
      <c r="AA216" s="20">
        <v>533754</v>
      </c>
      <c r="AB216" s="20">
        <v>6.8732037605338789E-2</v>
      </c>
      <c r="AC216" s="20">
        <v>0.71899999999999997</v>
      </c>
      <c r="AD216" s="20" t="s">
        <v>16</v>
      </c>
      <c r="AE216" s="20" t="s">
        <v>17</v>
      </c>
      <c r="AF216" s="20">
        <v>0</v>
      </c>
      <c r="AG216" s="20" t="s">
        <v>947</v>
      </c>
      <c r="AH216" s="20" t="s">
        <v>374</v>
      </c>
      <c r="AI216" s="20" t="s">
        <v>15</v>
      </c>
      <c r="AJ216" s="20">
        <v>-1</v>
      </c>
      <c r="AK216" s="20" t="s">
        <v>15</v>
      </c>
      <c r="AL216" s="20">
        <v>-1</v>
      </c>
      <c r="AM216" s="20" t="s">
        <v>18</v>
      </c>
      <c r="AN216">
        <v>214</v>
      </c>
    </row>
    <row r="217" spans="1:40" x14ac:dyDescent="0.25">
      <c r="A217" s="20" t="s">
        <v>7</v>
      </c>
      <c r="B217" s="21" t="s">
        <v>8</v>
      </c>
      <c r="C217" s="20" t="s">
        <v>9</v>
      </c>
      <c r="D217" s="21" t="s">
        <v>959</v>
      </c>
      <c r="E217" s="20">
        <v>2018</v>
      </c>
      <c r="F217" s="20">
        <v>5</v>
      </c>
      <c r="G217" s="20" t="s">
        <v>329</v>
      </c>
      <c r="H217" s="20" t="s">
        <v>10</v>
      </c>
      <c r="I217" s="20" t="s">
        <v>352</v>
      </c>
      <c r="J217" s="20">
        <v>4010</v>
      </c>
      <c r="K217" s="20" t="s">
        <v>67</v>
      </c>
      <c r="L217" s="20" t="s">
        <v>67</v>
      </c>
      <c r="M217" s="22">
        <v>0.4861111111111111</v>
      </c>
      <c r="N217" s="22">
        <v>0.74861111111111101</v>
      </c>
      <c r="O217" s="20">
        <v>40</v>
      </c>
      <c r="P217" s="20">
        <v>34</v>
      </c>
      <c r="Q217" s="20" t="s">
        <v>960</v>
      </c>
      <c r="R217" s="20">
        <v>100</v>
      </c>
      <c r="S217" s="20" t="s">
        <v>11</v>
      </c>
      <c r="T217" s="20" t="s">
        <v>12</v>
      </c>
      <c r="U217" s="20" t="s">
        <v>13</v>
      </c>
      <c r="V217" s="20" t="s">
        <v>14</v>
      </c>
      <c r="W217" s="20" t="s">
        <v>15</v>
      </c>
      <c r="X217" s="20">
        <v>12852</v>
      </c>
      <c r="Y217" s="20">
        <v>378</v>
      </c>
      <c r="Z217" s="20">
        <v>2.4079E-2</v>
      </c>
      <c r="AA217" s="20">
        <v>533754</v>
      </c>
      <c r="AB217" s="20">
        <v>2.4078508076754459E-2</v>
      </c>
      <c r="AC217" s="20">
        <v>0.252</v>
      </c>
      <c r="AD217" s="20" t="s">
        <v>16</v>
      </c>
      <c r="AE217" s="20" t="s">
        <v>17</v>
      </c>
      <c r="AF217" s="20">
        <v>0</v>
      </c>
      <c r="AG217" s="20" t="s">
        <v>960</v>
      </c>
      <c r="AH217" s="20" t="s">
        <v>339</v>
      </c>
      <c r="AI217" s="20" t="s">
        <v>15</v>
      </c>
      <c r="AJ217" s="20">
        <v>-1</v>
      </c>
      <c r="AK217" s="20" t="s">
        <v>15</v>
      </c>
      <c r="AL217" s="20">
        <v>-1</v>
      </c>
      <c r="AM217" s="20" t="s">
        <v>961</v>
      </c>
      <c r="AN217">
        <v>215</v>
      </c>
    </row>
    <row r="218" spans="1:40" x14ac:dyDescent="0.25">
      <c r="A218" s="20" t="s">
        <v>7</v>
      </c>
      <c r="B218" s="21" t="s">
        <v>8</v>
      </c>
      <c r="C218" s="20" t="s">
        <v>9</v>
      </c>
      <c r="D218" s="21" t="s">
        <v>962</v>
      </c>
      <c r="E218" s="20">
        <v>2018</v>
      </c>
      <c r="F218" s="20">
        <v>5</v>
      </c>
      <c r="G218" s="20" t="s">
        <v>342</v>
      </c>
      <c r="H218" s="20" t="s">
        <v>342</v>
      </c>
      <c r="I218" s="20" t="s">
        <v>366</v>
      </c>
      <c r="J218" s="20">
        <v>4060</v>
      </c>
      <c r="K218" s="20" t="s">
        <v>68</v>
      </c>
      <c r="L218" s="20" t="s">
        <v>68</v>
      </c>
      <c r="M218" s="22">
        <v>0.54999999999999993</v>
      </c>
      <c r="N218" s="22">
        <v>0.61458333333333337</v>
      </c>
      <c r="O218" s="20">
        <v>160</v>
      </c>
      <c r="P218" s="20">
        <v>145</v>
      </c>
      <c r="Q218" s="20" t="s">
        <v>686</v>
      </c>
      <c r="R218" s="20">
        <v>0</v>
      </c>
      <c r="S218" s="20" t="s">
        <v>11</v>
      </c>
      <c r="T218" s="20" t="s">
        <v>12</v>
      </c>
      <c r="U218" s="20" t="s">
        <v>13</v>
      </c>
      <c r="V218" s="20" t="s">
        <v>14</v>
      </c>
      <c r="W218" s="20" t="s">
        <v>15</v>
      </c>
      <c r="X218" s="20">
        <v>13485</v>
      </c>
      <c r="Y218" s="20">
        <v>93</v>
      </c>
      <c r="Z218" s="20">
        <v>2.5264000000000002E-2</v>
      </c>
      <c r="AA218" s="20">
        <v>533754</v>
      </c>
      <c r="AB218" s="20">
        <v>2.526444766690273E-2</v>
      </c>
      <c r="AC218" s="20">
        <v>0.248</v>
      </c>
      <c r="AD218" s="20" t="s">
        <v>16</v>
      </c>
      <c r="AE218" s="20" t="s">
        <v>17</v>
      </c>
      <c r="AF218" s="20">
        <v>0</v>
      </c>
      <c r="AG218" s="20" t="s">
        <v>686</v>
      </c>
      <c r="AH218" s="20" t="s">
        <v>765</v>
      </c>
      <c r="AI218" s="20" t="s">
        <v>15</v>
      </c>
      <c r="AJ218" s="20">
        <v>-1</v>
      </c>
      <c r="AK218" s="20" t="s">
        <v>15</v>
      </c>
      <c r="AL218" s="20">
        <v>-1</v>
      </c>
      <c r="AM218" s="20" t="s">
        <v>963</v>
      </c>
      <c r="AN218">
        <v>216</v>
      </c>
    </row>
    <row r="219" spans="1:40" x14ac:dyDescent="0.25">
      <c r="A219" s="20" t="s">
        <v>7</v>
      </c>
      <c r="B219" s="21" t="s">
        <v>8</v>
      </c>
      <c r="C219" s="20" t="s">
        <v>9</v>
      </c>
      <c r="D219" s="21" t="s">
        <v>294</v>
      </c>
      <c r="E219" s="20">
        <v>2018</v>
      </c>
      <c r="F219" s="20">
        <v>5</v>
      </c>
      <c r="G219" s="20" t="s">
        <v>9</v>
      </c>
      <c r="H219" s="20" t="s">
        <v>10</v>
      </c>
      <c r="I219" s="20" t="s">
        <v>187</v>
      </c>
      <c r="J219" s="20">
        <v>4032</v>
      </c>
      <c r="K219" s="20" t="s">
        <v>68</v>
      </c>
      <c r="L219" s="20" t="s">
        <v>69</v>
      </c>
      <c r="M219" s="22">
        <v>0.69791666666666663</v>
      </c>
      <c r="N219" s="22">
        <v>0.81597222222222221</v>
      </c>
      <c r="O219" s="20">
        <v>10</v>
      </c>
      <c r="P219" s="20">
        <v>1</v>
      </c>
      <c r="Q219" s="20" t="s">
        <v>295</v>
      </c>
      <c r="R219" s="20">
        <v>100</v>
      </c>
      <c r="S219" s="20" t="s">
        <v>11</v>
      </c>
      <c r="T219" s="20" t="s">
        <v>12</v>
      </c>
      <c r="U219" s="20" t="s">
        <v>13</v>
      </c>
      <c r="V219" s="20" t="s">
        <v>14</v>
      </c>
      <c r="W219" s="20" t="s">
        <v>15</v>
      </c>
      <c r="X219" s="20">
        <v>1610</v>
      </c>
      <c r="Y219" s="20">
        <v>1610</v>
      </c>
      <c r="Z219" s="20">
        <v>3.016E-3</v>
      </c>
      <c r="AA219" s="20">
        <v>533754</v>
      </c>
      <c r="AB219" s="20">
        <v>3.0163708375019202E-3</v>
      </c>
      <c r="AC219" s="20">
        <v>0.26800000000000002</v>
      </c>
      <c r="AD219" s="20" t="s">
        <v>16</v>
      </c>
      <c r="AE219" s="20" t="s">
        <v>17</v>
      </c>
      <c r="AF219" s="20">
        <v>0</v>
      </c>
      <c r="AG219" s="20" t="s">
        <v>295</v>
      </c>
      <c r="AH219" s="20" t="s">
        <v>267</v>
      </c>
      <c r="AI219" s="20" t="s">
        <v>15</v>
      </c>
      <c r="AJ219" s="20">
        <v>-1</v>
      </c>
      <c r="AK219" s="20" t="s">
        <v>15</v>
      </c>
      <c r="AL219" s="20">
        <v>-1</v>
      </c>
      <c r="AM219" s="20" t="s">
        <v>296</v>
      </c>
      <c r="AN219">
        <v>217</v>
      </c>
    </row>
    <row r="220" spans="1:40" x14ac:dyDescent="0.25">
      <c r="A220" s="20" t="s">
        <v>7</v>
      </c>
      <c r="B220" s="21" t="s">
        <v>8</v>
      </c>
      <c r="C220" s="20" t="s">
        <v>9</v>
      </c>
      <c r="D220" s="21" t="s">
        <v>297</v>
      </c>
      <c r="E220" s="20">
        <v>2018</v>
      </c>
      <c r="F220" s="20">
        <v>5</v>
      </c>
      <c r="G220" s="20" t="s">
        <v>9</v>
      </c>
      <c r="H220" s="20" t="s">
        <v>10</v>
      </c>
      <c r="I220" s="20" t="s">
        <v>214</v>
      </c>
      <c r="J220" s="20">
        <v>4050</v>
      </c>
      <c r="K220" s="20" t="s">
        <v>68</v>
      </c>
      <c r="L220" s="20" t="s">
        <v>68</v>
      </c>
      <c r="M220" s="22">
        <v>0.70138888888888884</v>
      </c>
      <c r="N220" s="22">
        <v>0.85416666666666663</v>
      </c>
      <c r="O220" s="20">
        <v>75</v>
      </c>
      <c r="P220" s="20">
        <v>85</v>
      </c>
      <c r="Q220" s="20" t="s">
        <v>298</v>
      </c>
      <c r="R220" s="20">
        <v>100</v>
      </c>
      <c r="S220" s="20" t="s">
        <v>11</v>
      </c>
      <c r="T220" s="20" t="s">
        <v>27</v>
      </c>
      <c r="U220" s="20" t="s">
        <v>13</v>
      </c>
      <c r="V220" s="20" t="s">
        <v>14</v>
      </c>
      <c r="W220" s="20" t="s">
        <v>15</v>
      </c>
      <c r="X220" s="20">
        <v>18700</v>
      </c>
      <c r="Y220" s="20">
        <v>220</v>
      </c>
      <c r="Z220" s="20">
        <v>3.5034999999999997E-2</v>
      </c>
      <c r="AA220" s="20">
        <v>533754</v>
      </c>
      <c r="AB220" s="20">
        <v>3.5034866249245906E-2</v>
      </c>
      <c r="AC220" s="20">
        <v>0.27500000000000002</v>
      </c>
      <c r="AD220" s="20" t="s">
        <v>16</v>
      </c>
      <c r="AE220" s="20" t="s">
        <v>17</v>
      </c>
      <c r="AF220" s="20">
        <v>0</v>
      </c>
      <c r="AG220" s="20" t="s">
        <v>298</v>
      </c>
      <c r="AH220" s="20" t="s">
        <v>22</v>
      </c>
      <c r="AI220" s="20" t="s">
        <v>15</v>
      </c>
      <c r="AJ220" s="20">
        <v>-1</v>
      </c>
      <c r="AK220" s="20" t="s">
        <v>15</v>
      </c>
      <c r="AL220" s="20">
        <v>-1</v>
      </c>
      <c r="AM220" s="20" t="s">
        <v>299</v>
      </c>
      <c r="AN220">
        <v>218</v>
      </c>
    </row>
    <row r="221" spans="1:40" x14ac:dyDescent="0.25">
      <c r="A221" s="20" t="s">
        <v>7</v>
      </c>
      <c r="B221" s="21" t="s">
        <v>8</v>
      </c>
      <c r="C221" s="20" t="s">
        <v>9</v>
      </c>
      <c r="D221" s="21" t="s">
        <v>300</v>
      </c>
      <c r="E221" s="20">
        <v>2018</v>
      </c>
      <c r="F221" s="20">
        <v>5</v>
      </c>
      <c r="G221" s="20" t="s">
        <v>9</v>
      </c>
      <c r="H221" s="20" t="s">
        <v>10</v>
      </c>
      <c r="I221" s="20" t="s">
        <v>208</v>
      </c>
      <c r="J221" s="20">
        <v>4010</v>
      </c>
      <c r="K221" s="20" t="s">
        <v>68</v>
      </c>
      <c r="L221" s="20" t="s">
        <v>68</v>
      </c>
      <c r="M221" s="22">
        <v>0.35138888888888892</v>
      </c>
      <c r="N221" s="22">
        <v>0.39930555555555558</v>
      </c>
      <c r="O221" s="20">
        <v>32</v>
      </c>
      <c r="P221" s="20">
        <v>12</v>
      </c>
      <c r="Q221" s="20" t="s">
        <v>301</v>
      </c>
      <c r="R221" s="20">
        <v>100</v>
      </c>
      <c r="S221" s="20" t="s">
        <v>11</v>
      </c>
      <c r="T221" s="20" t="s">
        <v>12</v>
      </c>
      <c r="U221" s="20" t="s">
        <v>13</v>
      </c>
      <c r="V221" s="20" t="s">
        <v>14</v>
      </c>
      <c r="W221" s="20" t="s">
        <v>15</v>
      </c>
      <c r="X221" s="20">
        <v>828</v>
      </c>
      <c r="Y221" s="20">
        <v>69</v>
      </c>
      <c r="Z221" s="20">
        <v>1.5510000000000001E-3</v>
      </c>
      <c r="AA221" s="20">
        <v>533754</v>
      </c>
      <c r="AB221" s="20">
        <v>1.5512764307152734E-3</v>
      </c>
      <c r="AC221" s="20">
        <v>3.6999999999999998E-2</v>
      </c>
      <c r="AD221" s="20" t="s">
        <v>16</v>
      </c>
      <c r="AE221" s="20" t="s">
        <v>17</v>
      </c>
      <c r="AF221" s="20">
        <v>0</v>
      </c>
      <c r="AG221" s="20" t="s">
        <v>301</v>
      </c>
      <c r="AH221" s="20" t="s">
        <v>281</v>
      </c>
      <c r="AI221" s="20" t="s">
        <v>15</v>
      </c>
      <c r="AJ221" s="20">
        <v>-1</v>
      </c>
      <c r="AK221" s="20" t="s">
        <v>15</v>
      </c>
      <c r="AL221" s="20">
        <v>-1</v>
      </c>
      <c r="AM221" s="20" t="s">
        <v>18</v>
      </c>
      <c r="AN221">
        <v>219</v>
      </c>
    </row>
    <row r="222" spans="1:40" x14ac:dyDescent="0.25">
      <c r="A222" s="20" t="s">
        <v>7</v>
      </c>
      <c r="B222" s="21" t="s">
        <v>8</v>
      </c>
      <c r="C222" s="20" t="s">
        <v>9</v>
      </c>
      <c r="D222" s="21" t="s">
        <v>964</v>
      </c>
      <c r="E222" s="20">
        <v>2018</v>
      </c>
      <c r="F222" s="20">
        <v>5</v>
      </c>
      <c r="G222" s="20" t="s">
        <v>329</v>
      </c>
      <c r="H222" s="20" t="s">
        <v>10</v>
      </c>
      <c r="I222" s="20" t="s">
        <v>352</v>
      </c>
      <c r="J222" s="20">
        <v>4010</v>
      </c>
      <c r="K222" s="20" t="s">
        <v>69</v>
      </c>
      <c r="L222" s="20" t="s">
        <v>69</v>
      </c>
      <c r="M222" s="22">
        <v>0.43611111111111112</v>
      </c>
      <c r="N222" s="22">
        <v>0.85416666666666663</v>
      </c>
      <c r="O222" s="20">
        <v>49</v>
      </c>
      <c r="P222" s="20">
        <v>43</v>
      </c>
      <c r="Q222" s="20" t="s">
        <v>965</v>
      </c>
      <c r="R222" s="20">
        <v>100</v>
      </c>
      <c r="S222" s="20" t="s">
        <v>11</v>
      </c>
      <c r="T222" s="20" t="s">
        <v>12</v>
      </c>
      <c r="U222" s="20" t="s">
        <v>13</v>
      </c>
      <c r="V222" s="20" t="s">
        <v>14</v>
      </c>
      <c r="W222" s="20" t="s">
        <v>15</v>
      </c>
      <c r="X222" s="20">
        <v>25886</v>
      </c>
      <c r="Y222" s="20">
        <v>602</v>
      </c>
      <c r="Z222" s="20">
        <v>4.8497999999999999E-2</v>
      </c>
      <c r="AA222" s="20">
        <v>533754</v>
      </c>
      <c r="AB222" s="20">
        <v>4.8497997204704789E-2</v>
      </c>
      <c r="AC222" s="20">
        <v>0.49199999999999999</v>
      </c>
      <c r="AD222" s="20" t="s">
        <v>16</v>
      </c>
      <c r="AE222" s="20" t="s">
        <v>17</v>
      </c>
      <c r="AF222" s="20">
        <v>0</v>
      </c>
      <c r="AG222" s="20" t="s">
        <v>965</v>
      </c>
      <c r="AH222" s="20" t="s">
        <v>401</v>
      </c>
      <c r="AI222" s="20" t="s">
        <v>15</v>
      </c>
      <c r="AJ222" s="20">
        <v>-1</v>
      </c>
      <c r="AK222" s="20" t="s">
        <v>15</v>
      </c>
      <c r="AL222" s="20">
        <v>-1</v>
      </c>
      <c r="AM222" s="20" t="s">
        <v>966</v>
      </c>
      <c r="AN222">
        <v>220</v>
      </c>
    </row>
    <row r="223" spans="1:40" x14ac:dyDescent="0.25">
      <c r="A223" s="20" t="s">
        <v>7</v>
      </c>
      <c r="B223" s="21" t="s">
        <v>8</v>
      </c>
      <c r="C223" s="20" t="s">
        <v>9</v>
      </c>
      <c r="D223" s="21" t="s">
        <v>302</v>
      </c>
      <c r="E223" s="20">
        <v>2018</v>
      </c>
      <c r="F223" s="20">
        <v>5</v>
      </c>
      <c r="G223" s="20" t="s">
        <v>9</v>
      </c>
      <c r="H223" s="20" t="s">
        <v>10</v>
      </c>
      <c r="I223" s="20" t="s">
        <v>187</v>
      </c>
      <c r="J223" s="20">
        <v>4012</v>
      </c>
      <c r="K223" s="20" t="s">
        <v>70</v>
      </c>
      <c r="L223" s="20" t="s">
        <v>70</v>
      </c>
      <c r="M223" s="22">
        <v>0.35694444444444445</v>
      </c>
      <c r="N223" s="22">
        <v>0.57708333333333328</v>
      </c>
      <c r="O223" s="20">
        <v>62</v>
      </c>
      <c r="P223" s="20">
        <v>49</v>
      </c>
      <c r="Q223" s="20" t="s">
        <v>303</v>
      </c>
      <c r="R223" s="20">
        <v>100</v>
      </c>
      <c r="S223" s="20" t="s">
        <v>25</v>
      </c>
      <c r="T223" s="20" t="s">
        <v>26</v>
      </c>
      <c r="U223" s="20" t="s">
        <v>13</v>
      </c>
      <c r="V223" s="20" t="s">
        <v>14</v>
      </c>
      <c r="W223" s="20" t="s">
        <v>15</v>
      </c>
      <c r="X223" s="20">
        <v>15533</v>
      </c>
      <c r="Y223" s="20">
        <v>317</v>
      </c>
      <c r="Z223" s="20">
        <v>2.9100999999999998E-2</v>
      </c>
      <c r="AA223" s="20">
        <v>533754</v>
      </c>
      <c r="AB223" s="20">
        <v>2.9101421253985918E-2</v>
      </c>
      <c r="AC223" s="20">
        <v>0.32800000000000001</v>
      </c>
      <c r="AD223" s="20" t="s">
        <v>16</v>
      </c>
      <c r="AE223" s="20" t="s">
        <v>17</v>
      </c>
      <c r="AF223" s="20">
        <v>0</v>
      </c>
      <c r="AG223" s="20" t="s">
        <v>303</v>
      </c>
      <c r="AH223" s="20" t="s">
        <v>288</v>
      </c>
      <c r="AI223" s="20" t="s">
        <v>15</v>
      </c>
      <c r="AJ223" s="20">
        <v>-1</v>
      </c>
      <c r="AK223" s="20" t="s">
        <v>15</v>
      </c>
      <c r="AL223" s="20">
        <v>-1</v>
      </c>
      <c r="AM223" s="20" t="s">
        <v>304</v>
      </c>
      <c r="AN223">
        <v>221</v>
      </c>
    </row>
    <row r="224" spans="1:40" x14ac:dyDescent="0.25">
      <c r="A224" s="20" t="s">
        <v>7</v>
      </c>
      <c r="B224" s="21" t="s">
        <v>8</v>
      </c>
      <c r="C224" s="20" t="s">
        <v>9</v>
      </c>
      <c r="D224" s="21" t="s">
        <v>967</v>
      </c>
      <c r="E224" s="20">
        <v>2018</v>
      </c>
      <c r="F224" s="20">
        <v>5</v>
      </c>
      <c r="G224" s="20" t="s">
        <v>342</v>
      </c>
      <c r="H224" s="20" t="s">
        <v>342</v>
      </c>
      <c r="I224" s="20" t="s">
        <v>330</v>
      </c>
      <c r="J224" s="20">
        <v>4052</v>
      </c>
      <c r="K224" s="20" t="s">
        <v>70</v>
      </c>
      <c r="L224" s="20" t="s">
        <v>70</v>
      </c>
      <c r="M224" s="22">
        <v>0.8222222222222223</v>
      </c>
      <c r="N224" s="22">
        <v>0.87361111111111101</v>
      </c>
      <c r="O224" s="20">
        <v>54</v>
      </c>
      <c r="P224" s="20">
        <v>99</v>
      </c>
      <c r="Q224" s="20" t="s">
        <v>968</v>
      </c>
      <c r="R224" s="20">
        <v>0</v>
      </c>
      <c r="S224" s="20" t="s">
        <v>11</v>
      </c>
      <c r="T224" s="20" t="s">
        <v>19</v>
      </c>
      <c r="U224" s="20" t="s">
        <v>13</v>
      </c>
      <c r="V224" s="20" t="s">
        <v>14</v>
      </c>
      <c r="W224" s="20" t="s">
        <v>15</v>
      </c>
      <c r="X224" s="20">
        <v>7326</v>
      </c>
      <c r="Y224" s="20">
        <v>74</v>
      </c>
      <c r="Z224" s="20">
        <v>1.3724999999999999E-2</v>
      </c>
      <c r="AA224" s="20">
        <v>533754</v>
      </c>
      <c r="AB224" s="20">
        <v>1.3725424071763397E-2</v>
      </c>
      <c r="AC224" s="20">
        <v>6.7000000000000004E-2</v>
      </c>
      <c r="AD224" s="20" t="s">
        <v>16</v>
      </c>
      <c r="AE224" s="20" t="s">
        <v>17</v>
      </c>
      <c r="AF224" s="20">
        <v>0</v>
      </c>
      <c r="AG224" s="20" t="s">
        <v>968</v>
      </c>
      <c r="AH224" s="20" t="s">
        <v>969</v>
      </c>
      <c r="AI224" s="20" t="s">
        <v>15</v>
      </c>
      <c r="AJ224" s="20">
        <v>-1</v>
      </c>
      <c r="AK224" s="20" t="s">
        <v>15</v>
      </c>
      <c r="AL224" s="20">
        <v>-1</v>
      </c>
      <c r="AM224" s="20" t="s">
        <v>970</v>
      </c>
      <c r="AN224">
        <v>222</v>
      </c>
    </row>
    <row r="225" spans="1:40" x14ac:dyDescent="0.25">
      <c r="A225" s="20" t="s">
        <v>7</v>
      </c>
      <c r="B225" s="21" t="s">
        <v>8</v>
      </c>
      <c r="C225" s="20" t="s">
        <v>9</v>
      </c>
      <c r="D225" s="21" t="s">
        <v>971</v>
      </c>
      <c r="E225" s="20">
        <v>2018</v>
      </c>
      <c r="F225" s="20">
        <v>5</v>
      </c>
      <c r="G225" s="20" t="s">
        <v>329</v>
      </c>
      <c r="H225" s="20" t="s">
        <v>10</v>
      </c>
      <c r="I225" s="20" t="s">
        <v>376</v>
      </c>
      <c r="J225" s="20">
        <v>4010</v>
      </c>
      <c r="K225" s="20" t="s">
        <v>70</v>
      </c>
      <c r="L225" s="20" t="s">
        <v>972</v>
      </c>
      <c r="M225" s="22">
        <v>0.90416666666666667</v>
      </c>
      <c r="N225" s="22">
        <v>0.7270833333333333</v>
      </c>
      <c r="O225" s="20">
        <v>65</v>
      </c>
      <c r="P225" s="20">
        <v>27</v>
      </c>
      <c r="Q225" s="20" t="s">
        <v>973</v>
      </c>
      <c r="R225" s="20">
        <v>100</v>
      </c>
      <c r="S225" s="20" t="s">
        <v>48</v>
      </c>
      <c r="T225" s="20" t="s">
        <v>19</v>
      </c>
      <c r="U225" s="20" t="s">
        <v>13</v>
      </c>
      <c r="V225" s="20" t="s">
        <v>14</v>
      </c>
      <c r="W225" s="20" t="s">
        <v>15</v>
      </c>
      <c r="X225" s="20">
        <v>31995</v>
      </c>
      <c r="Y225" s="20">
        <v>1185</v>
      </c>
      <c r="Z225" s="20">
        <v>5.9943000000000003E-2</v>
      </c>
      <c r="AA225" s="20">
        <v>533754</v>
      </c>
      <c r="AB225" s="20">
        <v>5.9943344686878224E-2</v>
      </c>
      <c r="AC225" s="20">
        <v>1.284</v>
      </c>
      <c r="AD225" s="20" t="s">
        <v>16</v>
      </c>
      <c r="AE225" s="20" t="s">
        <v>17</v>
      </c>
      <c r="AF225" s="20">
        <v>0</v>
      </c>
      <c r="AG225" s="20" t="s">
        <v>973</v>
      </c>
      <c r="AH225" s="20" t="s">
        <v>339</v>
      </c>
      <c r="AI225" s="20" t="s">
        <v>15</v>
      </c>
      <c r="AJ225" s="20">
        <v>-1</v>
      </c>
      <c r="AK225" s="20" t="s">
        <v>15</v>
      </c>
      <c r="AL225" s="20">
        <v>-1</v>
      </c>
      <c r="AM225" s="20" t="s">
        <v>18</v>
      </c>
      <c r="AN225">
        <v>223</v>
      </c>
    </row>
    <row r="226" spans="1:40" x14ac:dyDescent="0.25">
      <c r="A226" s="20" t="s">
        <v>7</v>
      </c>
      <c r="B226" s="21" t="s">
        <v>8</v>
      </c>
      <c r="C226" s="20" t="s">
        <v>9</v>
      </c>
      <c r="D226" s="21" t="s">
        <v>974</v>
      </c>
      <c r="E226" s="20">
        <v>2018</v>
      </c>
      <c r="F226" s="20">
        <v>5</v>
      </c>
      <c r="G226" s="20" t="s">
        <v>323</v>
      </c>
      <c r="H226" s="20" t="s">
        <v>10</v>
      </c>
      <c r="I226" s="20" t="s">
        <v>489</v>
      </c>
      <c r="J226" s="20">
        <v>4010</v>
      </c>
      <c r="K226" s="20" t="s">
        <v>972</v>
      </c>
      <c r="L226" s="20" t="s">
        <v>972</v>
      </c>
      <c r="M226" s="22">
        <v>0.33958333333333335</v>
      </c>
      <c r="N226" s="22">
        <v>0.52013888888888882</v>
      </c>
      <c r="O226" s="20">
        <v>8</v>
      </c>
      <c r="P226" s="20">
        <v>36</v>
      </c>
      <c r="Q226" s="20" t="s">
        <v>975</v>
      </c>
      <c r="R226" s="20">
        <v>100</v>
      </c>
      <c r="S226" s="20" t="s">
        <v>11</v>
      </c>
      <c r="T226" s="20" t="s">
        <v>12</v>
      </c>
      <c r="U226" s="20" t="s">
        <v>13</v>
      </c>
      <c r="V226" s="20" t="s">
        <v>14</v>
      </c>
      <c r="W226" s="20" t="s">
        <v>15</v>
      </c>
      <c r="X226" s="20">
        <v>9360</v>
      </c>
      <c r="Y226" s="20">
        <v>260</v>
      </c>
      <c r="Z226" s="20">
        <v>1.7536E-2</v>
      </c>
      <c r="AA226" s="20">
        <v>533754</v>
      </c>
      <c r="AB226" s="20">
        <v>1.7536168347216132E-2</v>
      </c>
      <c r="AC226" s="20">
        <v>3.5000000000000003E-2</v>
      </c>
      <c r="AD226" s="20" t="s">
        <v>16</v>
      </c>
      <c r="AE226" s="20" t="s">
        <v>17</v>
      </c>
      <c r="AF226" s="20">
        <v>0</v>
      </c>
      <c r="AG226" s="20" t="s">
        <v>975</v>
      </c>
      <c r="AH226" s="20" t="s">
        <v>976</v>
      </c>
      <c r="AI226" s="20" t="s">
        <v>15</v>
      </c>
      <c r="AJ226" s="20">
        <v>-1</v>
      </c>
      <c r="AK226" s="20" t="s">
        <v>15</v>
      </c>
      <c r="AL226" s="20">
        <v>-1</v>
      </c>
      <c r="AM226" s="20" t="s">
        <v>977</v>
      </c>
      <c r="AN226">
        <v>224</v>
      </c>
    </row>
    <row r="227" spans="1:40" x14ac:dyDescent="0.25">
      <c r="A227" s="20" t="s">
        <v>7</v>
      </c>
      <c r="B227" s="21" t="s">
        <v>8</v>
      </c>
      <c r="C227" s="20" t="s">
        <v>9</v>
      </c>
      <c r="D227" s="21" t="s">
        <v>978</v>
      </c>
      <c r="E227" s="20">
        <v>2018</v>
      </c>
      <c r="F227" s="20">
        <v>5</v>
      </c>
      <c r="G227" s="20" t="s">
        <v>342</v>
      </c>
      <c r="H227" s="20" t="s">
        <v>342</v>
      </c>
      <c r="I227" s="20" t="s">
        <v>361</v>
      </c>
      <c r="J227" s="20">
        <v>4080</v>
      </c>
      <c r="K227" s="20" t="s">
        <v>972</v>
      </c>
      <c r="L227" s="20" t="s">
        <v>972</v>
      </c>
      <c r="M227" s="22">
        <v>0.38055555555555554</v>
      </c>
      <c r="N227" s="22">
        <v>0.41597222222222219</v>
      </c>
      <c r="O227" s="20">
        <v>130</v>
      </c>
      <c r="P227" s="20">
        <v>47</v>
      </c>
      <c r="Q227" s="20" t="s">
        <v>979</v>
      </c>
      <c r="R227" s="20">
        <v>0</v>
      </c>
      <c r="S227" s="20" t="s">
        <v>11</v>
      </c>
      <c r="T227" s="20" t="s">
        <v>12</v>
      </c>
      <c r="U227" s="20" t="s">
        <v>13</v>
      </c>
      <c r="V227" s="20" t="s">
        <v>14</v>
      </c>
      <c r="W227" s="20" t="s">
        <v>15</v>
      </c>
      <c r="X227" s="20">
        <v>2397</v>
      </c>
      <c r="Y227" s="20">
        <v>51</v>
      </c>
      <c r="Z227" s="20">
        <v>4.4910000000000002E-3</v>
      </c>
      <c r="AA227" s="20">
        <v>533754</v>
      </c>
      <c r="AB227" s="20">
        <v>4.4908328555851576E-3</v>
      </c>
      <c r="AC227" s="20">
        <v>0.111</v>
      </c>
      <c r="AD227" s="20" t="s">
        <v>16</v>
      </c>
      <c r="AE227" s="20" t="s">
        <v>17</v>
      </c>
      <c r="AF227" s="20">
        <v>0</v>
      </c>
      <c r="AG227" s="20" t="s">
        <v>979</v>
      </c>
      <c r="AH227" s="20" t="s">
        <v>765</v>
      </c>
      <c r="AI227" s="20" t="s">
        <v>15</v>
      </c>
      <c r="AJ227" s="20">
        <v>-1</v>
      </c>
      <c r="AK227" s="20" t="s">
        <v>15</v>
      </c>
      <c r="AL227" s="20">
        <v>-1</v>
      </c>
      <c r="AM227" s="20" t="s">
        <v>980</v>
      </c>
      <c r="AN227">
        <v>225</v>
      </c>
    </row>
    <row r="228" spans="1:40" x14ac:dyDescent="0.25">
      <c r="A228" s="20" t="s">
        <v>7</v>
      </c>
      <c r="B228" s="21" t="s">
        <v>8</v>
      </c>
      <c r="C228" s="20" t="s">
        <v>9</v>
      </c>
      <c r="D228" s="21" t="s">
        <v>981</v>
      </c>
      <c r="E228" s="20">
        <v>2018</v>
      </c>
      <c r="F228" s="20">
        <v>5</v>
      </c>
      <c r="G228" s="20" t="s">
        <v>342</v>
      </c>
      <c r="H228" s="20" t="s">
        <v>342</v>
      </c>
      <c r="I228" s="20" t="s">
        <v>330</v>
      </c>
      <c r="J228" s="20">
        <v>4020</v>
      </c>
      <c r="K228" s="20" t="s">
        <v>306</v>
      </c>
      <c r="L228" s="20" t="s">
        <v>306</v>
      </c>
      <c r="M228" s="22">
        <v>0.35694444444444445</v>
      </c>
      <c r="N228" s="22">
        <v>0.48749999999999999</v>
      </c>
      <c r="O228" s="20">
        <v>233</v>
      </c>
      <c r="P228" s="20">
        <v>166</v>
      </c>
      <c r="Q228" s="20" t="s">
        <v>982</v>
      </c>
      <c r="R228" s="20">
        <v>0</v>
      </c>
      <c r="S228" s="20" t="s">
        <v>11</v>
      </c>
      <c r="T228" s="20" t="s">
        <v>19</v>
      </c>
      <c r="U228" s="20" t="s">
        <v>13</v>
      </c>
      <c r="V228" s="20" t="s">
        <v>14</v>
      </c>
      <c r="W228" s="20" t="s">
        <v>15</v>
      </c>
      <c r="X228" s="20">
        <v>31208</v>
      </c>
      <c r="Y228" s="20">
        <v>188</v>
      </c>
      <c r="Z228" s="20">
        <v>5.8469E-2</v>
      </c>
      <c r="AA228" s="20">
        <v>533754</v>
      </c>
      <c r="AB228" s="20">
        <v>5.8468882668794991E-2</v>
      </c>
      <c r="AC228" s="20">
        <v>0.73</v>
      </c>
      <c r="AD228" s="20" t="s">
        <v>16</v>
      </c>
      <c r="AE228" s="20" t="s">
        <v>17</v>
      </c>
      <c r="AF228" s="20">
        <v>0</v>
      </c>
      <c r="AG228" s="20" t="s">
        <v>982</v>
      </c>
      <c r="AH228" s="20" t="s">
        <v>855</v>
      </c>
      <c r="AI228" s="20" t="s">
        <v>15</v>
      </c>
      <c r="AJ228" s="20">
        <v>-1</v>
      </c>
      <c r="AK228" s="20" t="s">
        <v>15</v>
      </c>
      <c r="AL228" s="20">
        <v>-1</v>
      </c>
      <c r="AM228" s="20" t="s">
        <v>18</v>
      </c>
      <c r="AN228">
        <v>226</v>
      </c>
    </row>
    <row r="229" spans="1:40" x14ac:dyDescent="0.25">
      <c r="A229" s="20" t="s">
        <v>7</v>
      </c>
      <c r="B229" s="21" t="s">
        <v>8</v>
      </c>
      <c r="C229" s="20" t="s">
        <v>9</v>
      </c>
      <c r="D229" s="21" t="s">
        <v>305</v>
      </c>
      <c r="E229" s="20">
        <v>2018</v>
      </c>
      <c r="F229" s="20">
        <v>5</v>
      </c>
      <c r="G229" s="20" t="s">
        <v>9</v>
      </c>
      <c r="H229" s="20" t="s">
        <v>10</v>
      </c>
      <c r="I229" s="20" t="s">
        <v>187</v>
      </c>
      <c r="J229" s="20">
        <v>4012</v>
      </c>
      <c r="K229" s="20" t="s">
        <v>306</v>
      </c>
      <c r="L229" s="20" t="s">
        <v>306</v>
      </c>
      <c r="M229" s="22">
        <v>0.39097222222222222</v>
      </c>
      <c r="N229" s="22">
        <v>0.56388888888888888</v>
      </c>
      <c r="O229" s="20">
        <v>34</v>
      </c>
      <c r="P229" s="20">
        <v>36</v>
      </c>
      <c r="Q229" s="20" t="s">
        <v>307</v>
      </c>
      <c r="R229" s="20">
        <v>100</v>
      </c>
      <c r="S229" s="20" t="s">
        <v>11</v>
      </c>
      <c r="T229" s="20" t="s">
        <v>12</v>
      </c>
      <c r="U229" s="20" t="s">
        <v>13</v>
      </c>
      <c r="V229" s="20" t="s">
        <v>14</v>
      </c>
      <c r="W229" s="20" t="s">
        <v>15</v>
      </c>
      <c r="X229" s="20">
        <v>8964</v>
      </c>
      <c r="Y229" s="20">
        <v>249</v>
      </c>
      <c r="Z229" s="20">
        <v>1.6794E-2</v>
      </c>
      <c r="AA229" s="20">
        <v>533754</v>
      </c>
      <c r="AB229" s="20">
        <v>1.679425353252622E-2</v>
      </c>
      <c r="AC229" s="20">
        <v>0.14099999999999999</v>
      </c>
      <c r="AD229" s="20" t="s">
        <v>16</v>
      </c>
      <c r="AE229" s="20" t="s">
        <v>17</v>
      </c>
      <c r="AF229" s="20">
        <v>0</v>
      </c>
      <c r="AG229" s="20" t="s">
        <v>307</v>
      </c>
      <c r="AH229" s="20" t="s">
        <v>267</v>
      </c>
      <c r="AI229" s="20" t="s">
        <v>15</v>
      </c>
      <c r="AJ229" s="20">
        <v>-1</v>
      </c>
      <c r="AK229" s="20" t="s">
        <v>15</v>
      </c>
      <c r="AL229" s="20">
        <v>-1</v>
      </c>
      <c r="AM229" s="20" t="s">
        <v>308</v>
      </c>
      <c r="AN229">
        <v>227</v>
      </c>
    </row>
    <row r="230" spans="1:40" x14ac:dyDescent="0.25">
      <c r="A230" s="20" t="s">
        <v>7</v>
      </c>
      <c r="B230" s="21" t="s">
        <v>8</v>
      </c>
      <c r="C230" s="20" t="s">
        <v>9</v>
      </c>
      <c r="D230" s="21" t="s">
        <v>983</v>
      </c>
      <c r="E230" s="20">
        <v>2018</v>
      </c>
      <c r="F230" s="20">
        <v>5</v>
      </c>
      <c r="G230" s="20" t="s">
        <v>342</v>
      </c>
      <c r="H230" s="20" t="s">
        <v>342</v>
      </c>
      <c r="I230" s="20" t="s">
        <v>366</v>
      </c>
      <c r="J230" s="20">
        <v>4090</v>
      </c>
      <c r="K230" s="20" t="s">
        <v>306</v>
      </c>
      <c r="L230" s="20" t="s">
        <v>984</v>
      </c>
      <c r="M230" s="22">
        <v>0.87083333333333324</v>
      </c>
      <c r="N230" s="22">
        <v>8.5416666666666655E-2</v>
      </c>
      <c r="O230" s="20">
        <v>50</v>
      </c>
      <c r="P230" s="20">
        <v>1</v>
      </c>
      <c r="Q230" s="20" t="s">
        <v>985</v>
      </c>
      <c r="R230" s="20">
        <v>0</v>
      </c>
      <c r="S230" s="20" t="s">
        <v>11</v>
      </c>
      <c r="T230" s="20" t="s">
        <v>12</v>
      </c>
      <c r="U230" s="20" t="s">
        <v>13</v>
      </c>
      <c r="V230" s="20" t="s">
        <v>14</v>
      </c>
      <c r="W230" s="20" t="s">
        <v>15</v>
      </c>
      <c r="X230" s="20">
        <v>309</v>
      </c>
      <c r="Y230" s="20">
        <v>309</v>
      </c>
      <c r="Z230" s="20">
        <v>5.7899999999999998E-4</v>
      </c>
      <c r="AA230" s="20">
        <v>533754</v>
      </c>
      <c r="AB230" s="20">
        <v>5.7891837812925056E-4</v>
      </c>
      <c r="AC230" s="20">
        <v>0.25800000000000001</v>
      </c>
      <c r="AD230" s="20" t="s">
        <v>16</v>
      </c>
      <c r="AE230" s="20" t="s">
        <v>17</v>
      </c>
      <c r="AF230" s="20">
        <v>0</v>
      </c>
      <c r="AG230" s="20" t="s">
        <v>985</v>
      </c>
      <c r="AH230" s="20" t="s">
        <v>969</v>
      </c>
      <c r="AI230" s="20" t="s">
        <v>15</v>
      </c>
      <c r="AJ230" s="20">
        <v>-1</v>
      </c>
      <c r="AK230" s="20" t="s">
        <v>15</v>
      </c>
      <c r="AL230" s="20">
        <v>-1</v>
      </c>
      <c r="AM230" s="20" t="s">
        <v>986</v>
      </c>
      <c r="AN230">
        <v>228</v>
      </c>
    </row>
    <row r="231" spans="1:40" x14ac:dyDescent="0.25">
      <c r="A231" s="20" t="s">
        <v>7</v>
      </c>
      <c r="B231" s="21" t="s">
        <v>8</v>
      </c>
      <c r="C231" s="20" t="s">
        <v>9</v>
      </c>
      <c r="D231" s="21" t="s">
        <v>987</v>
      </c>
      <c r="E231" s="20">
        <v>2018</v>
      </c>
      <c r="F231" s="20">
        <v>5</v>
      </c>
      <c r="G231" s="20" t="s">
        <v>323</v>
      </c>
      <c r="H231" s="20" t="s">
        <v>10</v>
      </c>
      <c r="I231" s="20" t="s">
        <v>324</v>
      </c>
      <c r="J231" s="20">
        <v>4020</v>
      </c>
      <c r="K231" s="20" t="s">
        <v>306</v>
      </c>
      <c r="L231" s="20" t="s">
        <v>306</v>
      </c>
      <c r="M231" s="22">
        <v>0.34027777777777773</v>
      </c>
      <c r="N231" s="22">
        <v>0.42708333333333331</v>
      </c>
      <c r="O231" s="20">
        <v>16</v>
      </c>
      <c r="P231" s="20">
        <v>64</v>
      </c>
      <c r="Q231" s="20" t="s">
        <v>795</v>
      </c>
      <c r="R231" s="20">
        <v>100</v>
      </c>
      <c r="S231" s="20" t="s">
        <v>11</v>
      </c>
      <c r="T231" s="20" t="s">
        <v>12</v>
      </c>
      <c r="U231" s="20" t="s">
        <v>13</v>
      </c>
      <c r="V231" s="20" t="s">
        <v>14</v>
      </c>
      <c r="W231" s="20" t="s">
        <v>15</v>
      </c>
      <c r="X231" s="20">
        <v>8000</v>
      </c>
      <c r="Y231" s="20">
        <v>125</v>
      </c>
      <c r="Z231" s="20">
        <v>1.4988E-2</v>
      </c>
      <c r="AA231" s="20">
        <v>533754</v>
      </c>
      <c r="AB231" s="20">
        <v>1.4988178074543704E-2</v>
      </c>
      <c r="AC231" s="20">
        <v>3.3000000000000002E-2</v>
      </c>
      <c r="AD231" s="20" t="s">
        <v>16</v>
      </c>
      <c r="AE231" s="20" t="s">
        <v>17</v>
      </c>
      <c r="AF231" s="20">
        <v>0</v>
      </c>
      <c r="AG231" s="20" t="s">
        <v>795</v>
      </c>
      <c r="AH231" s="20" t="s">
        <v>988</v>
      </c>
      <c r="AI231" s="20" t="s">
        <v>15</v>
      </c>
      <c r="AJ231" s="20">
        <v>-1</v>
      </c>
      <c r="AK231" s="20" t="s">
        <v>15</v>
      </c>
      <c r="AL231" s="20">
        <v>-1</v>
      </c>
      <c r="AM231" s="20" t="s">
        <v>18</v>
      </c>
      <c r="AN231">
        <v>229</v>
      </c>
    </row>
    <row r="232" spans="1:40" x14ac:dyDescent="0.25">
      <c r="A232" s="20" t="s">
        <v>7</v>
      </c>
      <c r="B232" s="21" t="s">
        <v>8</v>
      </c>
      <c r="C232" s="20" t="s">
        <v>9</v>
      </c>
      <c r="D232" s="21" t="s">
        <v>989</v>
      </c>
      <c r="E232" s="20">
        <v>2018</v>
      </c>
      <c r="F232" s="20">
        <v>5</v>
      </c>
      <c r="G232" s="20" t="s">
        <v>342</v>
      </c>
      <c r="H232" s="20" t="s">
        <v>342</v>
      </c>
      <c r="I232" s="20" t="s">
        <v>343</v>
      </c>
      <c r="J232" s="20">
        <v>4020</v>
      </c>
      <c r="K232" s="20" t="s">
        <v>984</v>
      </c>
      <c r="L232" s="20" t="s">
        <v>984</v>
      </c>
      <c r="M232" s="22">
        <v>0.51736111111111105</v>
      </c>
      <c r="N232" s="22">
        <v>0.56458333333333333</v>
      </c>
      <c r="O232" s="20">
        <v>125</v>
      </c>
      <c r="P232" s="20">
        <v>99</v>
      </c>
      <c r="Q232" s="20" t="s">
        <v>344</v>
      </c>
      <c r="R232" s="20">
        <v>0</v>
      </c>
      <c r="S232" s="20" t="s">
        <v>11</v>
      </c>
      <c r="T232" s="20" t="s">
        <v>12</v>
      </c>
      <c r="U232" s="20" t="s">
        <v>13</v>
      </c>
      <c r="V232" s="20" t="s">
        <v>14</v>
      </c>
      <c r="W232" s="20" t="s">
        <v>15</v>
      </c>
      <c r="X232" s="20">
        <v>6732</v>
      </c>
      <c r="Y232" s="20">
        <v>68</v>
      </c>
      <c r="Z232" s="20">
        <v>1.2612999999999999E-2</v>
      </c>
      <c r="AA232" s="20">
        <v>533754</v>
      </c>
      <c r="AB232" s="20">
        <v>1.2612551849728527E-2</v>
      </c>
      <c r="AC232" s="20">
        <v>0.14199999999999999</v>
      </c>
      <c r="AD232" s="20" t="s">
        <v>16</v>
      </c>
      <c r="AE232" s="20" t="s">
        <v>17</v>
      </c>
      <c r="AF232" s="20">
        <v>0</v>
      </c>
      <c r="AG232" s="20" t="s">
        <v>344</v>
      </c>
      <c r="AH232" s="20" t="s">
        <v>765</v>
      </c>
      <c r="AI232" s="20" t="s">
        <v>15</v>
      </c>
      <c r="AJ232" s="20">
        <v>-1</v>
      </c>
      <c r="AK232" s="20" t="s">
        <v>15</v>
      </c>
      <c r="AL232" s="20">
        <v>-1</v>
      </c>
      <c r="AM232" s="20" t="s">
        <v>990</v>
      </c>
      <c r="AN232">
        <v>230</v>
      </c>
    </row>
    <row r="233" spans="1:40" x14ac:dyDescent="0.25">
      <c r="A233" s="20" t="s">
        <v>7</v>
      </c>
      <c r="B233" s="21" t="s">
        <v>8</v>
      </c>
      <c r="C233" s="20" t="s">
        <v>9</v>
      </c>
      <c r="D233" s="21" t="s">
        <v>991</v>
      </c>
      <c r="E233" s="20">
        <v>2018</v>
      </c>
      <c r="F233" s="20">
        <v>5</v>
      </c>
      <c r="G233" s="20" t="s">
        <v>342</v>
      </c>
      <c r="H233" s="20" t="s">
        <v>342</v>
      </c>
      <c r="I233" s="20" t="s">
        <v>330</v>
      </c>
      <c r="J233" s="20">
        <v>4040</v>
      </c>
      <c r="K233" s="20" t="s">
        <v>992</v>
      </c>
      <c r="L233" s="20" t="s">
        <v>992</v>
      </c>
      <c r="M233" s="22">
        <v>0.29930555555555555</v>
      </c>
      <c r="N233" s="22">
        <v>0.40972222222222227</v>
      </c>
      <c r="O233" s="20">
        <v>100</v>
      </c>
      <c r="P233" s="20">
        <v>109</v>
      </c>
      <c r="Q233" s="20" t="s">
        <v>993</v>
      </c>
      <c r="R233" s="20">
        <v>0</v>
      </c>
      <c r="S233" s="20" t="s">
        <v>11</v>
      </c>
      <c r="T233" s="20" t="s">
        <v>12</v>
      </c>
      <c r="U233" s="20" t="s">
        <v>13</v>
      </c>
      <c r="V233" s="20" t="s">
        <v>14</v>
      </c>
      <c r="W233" s="20" t="s">
        <v>15</v>
      </c>
      <c r="X233" s="20">
        <v>17331</v>
      </c>
      <c r="Y233" s="20">
        <v>159</v>
      </c>
      <c r="Z233" s="20">
        <v>3.2469999999999999E-2</v>
      </c>
      <c r="AA233" s="20">
        <v>533754</v>
      </c>
      <c r="AB233" s="20">
        <v>3.2470014276239613E-2</v>
      </c>
      <c r="AC233" s="20">
        <v>0.26500000000000001</v>
      </c>
      <c r="AD233" s="20" t="s">
        <v>16</v>
      </c>
      <c r="AE233" s="20" t="s">
        <v>17</v>
      </c>
      <c r="AF233" s="20">
        <v>0</v>
      </c>
      <c r="AG233" s="20" t="s">
        <v>993</v>
      </c>
      <c r="AH233" s="20" t="s">
        <v>765</v>
      </c>
      <c r="AI233" s="20" t="s">
        <v>15</v>
      </c>
      <c r="AJ233" s="20">
        <v>-1</v>
      </c>
      <c r="AK233" s="20" t="s">
        <v>15</v>
      </c>
      <c r="AL233" s="20">
        <v>-1</v>
      </c>
      <c r="AM233" s="20" t="s">
        <v>994</v>
      </c>
      <c r="AN233">
        <v>231</v>
      </c>
    </row>
    <row r="234" spans="1:40" x14ac:dyDescent="0.25">
      <c r="A234" s="20" t="s">
        <v>7</v>
      </c>
      <c r="B234" s="21" t="s">
        <v>8</v>
      </c>
      <c r="C234" s="20" t="s">
        <v>9</v>
      </c>
      <c r="D234" s="21" t="s">
        <v>995</v>
      </c>
      <c r="E234" s="20">
        <v>2018</v>
      </c>
      <c r="F234" s="20">
        <v>5</v>
      </c>
      <c r="G234" s="20" t="s">
        <v>342</v>
      </c>
      <c r="H234" s="20" t="s">
        <v>342</v>
      </c>
      <c r="I234" s="20" t="s">
        <v>361</v>
      </c>
      <c r="J234" s="20">
        <v>4050</v>
      </c>
      <c r="K234" s="20" t="s">
        <v>992</v>
      </c>
      <c r="L234" s="20" t="s">
        <v>992</v>
      </c>
      <c r="M234" s="22">
        <v>0.6972222222222223</v>
      </c>
      <c r="N234" s="22">
        <v>0.80069444444444438</v>
      </c>
      <c r="O234" s="20">
        <v>90</v>
      </c>
      <c r="P234" s="20">
        <v>105</v>
      </c>
      <c r="Q234" s="20" t="s">
        <v>478</v>
      </c>
      <c r="R234" s="20">
        <v>0</v>
      </c>
      <c r="S234" s="20" t="s">
        <v>11</v>
      </c>
      <c r="T234" s="20" t="s">
        <v>19</v>
      </c>
      <c r="U234" s="20" t="s">
        <v>13</v>
      </c>
      <c r="V234" s="20" t="s">
        <v>14</v>
      </c>
      <c r="W234" s="20" t="s">
        <v>15</v>
      </c>
      <c r="X234" s="20">
        <v>15645</v>
      </c>
      <c r="Y234" s="20">
        <v>149</v>
      </c>
      <c r="Z234" s="20">
        <v>2.9311E-2</v>
      </c>
      <c r="AA234" s="20">
        <v>533754</v>
      </c>
      <c r="AB234" s="20">
        <v>2.931125574702953E-2</v>
      </c>
      <c r="AC234" s="20">
        <v>0.224</v>
      </c>
      <c r="AD234" s="20" t="s">
        <v>16</v>
      </c>
      <c r="AE234" s="20" t="s">
        <v>17</v>
      </c>
      <c r="AF234" s="20">
        <v>0</v>
      </c>
      <c r="AG234" s="20" t="s">
        <v>478</v>
      </c>
      <c r="AH234" s="20" t="s">
        <v>933</v>
      </c>
      <c r="AI234" s="20" t="s">
        <v>15</v>
      </c>
      <c r="AJ234" s="20">
        <v>-1</v>
      </c>
      <c r="AK234" s="20" t="s">
        <v>15</v>
      </c>
      <c r="AL234" s="20">
        <v>-1</v>
      </c>
      <c r="AM234" s="20" t="s">
        <v>996</v>
      </c>
      <c r="AN234">
        <v>232</v>
      </c>
    </row>
    <row r="235" spans="1:40" x14ac:dyDescent="0.25">
      <c r="A235" s="20" t="s">
        <v>7</v>
      </c>
      <c r="B235" s="21" t="s">
        <v>8</v>
      </c>
      <c r="C235" s="20" t="s">
        <v>9</v>
      </c>
      <c r="D235" s="21" t="s">
        <v>997</v>
      </c>
      <c r="E235" s="20">
        <v>2018</v>
      </c>
      <c r="F235" s="20">
        <v>5</v>
      </c>
      <c r="G235" s="20" t="s">
        <v>323</v>
      </c>
      <c r="H235" s="20" t="s">
        <v>10</v>
      </c>
      <c r="I235" s="20" t="s">
        <v>324</v>
      </c>
      <c r="J235" s="20">
        <v>4010</v>
      </c>
      <c r="K235" s="20" t="s">
        <v>998</v>
      </c>
      <c r="L235" s="20" t="s">
        <v>998</v>
      </c>
      <c r="M235" s="22">
        <v>0.45763888888888887</v>
      </c>
      <c r="N235" s="22">
        <v>0.51111111111111118</v>
      </c>
      <c r="O235" s="20">
        <v>300</v>
      </c>
      <c r="P235" s="20">
        <v>1</v>
      </c>
      <c r="Q235" s="20" t="s">
        <v>999</v>
      </c>
      <c r="R235" s="20">
        <v>100</v>
      </c>
      <c r="S235" s="20" t="s">
        <v>11</v>
      </c>
      <c r="T235" s="20" t="s">
        <v>12</v>
      </c>
      <c r="U235" s="20" t="s">
        <v>13</v>
      </c>
      <c r="V235" s="20" t="s">
        <v>14</v>
      </c>
      <c r="W235" s="20" t="s">
        <v>15</v>
      </c>
      <c r="X235" s="20">
        <v>77</v>
      </c>
      <c r="Y235" s="20">
        <v>77</v>
      </c>
      <c r="Z235" s="20">
        <v>1.44E-4</v>
      </c>
      <c r="AA235" s="20">
        <v>533754</v>
      </c>
      <c r="AB235" s="20">
        <v>1.4426121396748316E-4</v>
      </c>
      <c r="AC235" s="20">
        <v>0.38500000000000001</v>
      </c>
      <c r="AD235" s="20" t="s">
        <v>16</v>
      </c>
      <c r="AE235" s="20" t="s">
        <v>17</v>
      </c>
      <c r="AF235" s="20">
        <v>0</v>
      </c>
      <c r="AG235" s="20" t="s">
        <v>999</v>
      </c>
      <c r="AH235" s="20" t="s">
        <v>575</v>
      </c>
      <c r="AI235" s="20" t="s">
        <v>15</v>
      </c>
      <c r="AJ235" s="20">
        <v>-1</v>
      </c>
      <c r="AK235" s="20" t="s">
        <v>15</v>
      </c>
      <c r="AL235" s="20">
        <v>-1</v>
      </c>
      <c r="AM235" s="20" t="s">
        <v>18</v>
      </c>
      <c r="AN235">
        <v>233</v>
      </c>
    </row>
    <row r="236" spans="1:40" x14ac:dyDescent="0.25">
      <c r="A236" s="20" t="s">
        <v>7</v>
      </c>
      <c r="B236" s="21" t="s">
        <v>8</v>
      </c>
      <c r="C236" s="20" t="s">
        <v>9</v>
      </c>
      <c r="D236" s="21" t="s">
        <v>1000</v>
      </c>
      <c r="E236" s="20">
        <v>2018</v>
      </c>
      <c r="F236" s="20">
        <v>5</v>
      </c>
      <c r="G236" s="20" t="s">
        <v>342</v>
      </c>
      <c r="H236" s="20" t="s">
        <v>342</v>
      </c>
      <c r="I236" s="20" t="s">
        <v>330</v>
      </c>
      <c r="J236" s="20">
        <v>4020</v>
      </c>
      <c r="K236" s="20" t="s">
        <v>998</v>
      </c>
      <c r="L236" s="20" t="s">
        <v>998</v>
      </c>
      <c r="M236" s="22">
        <v>0.35625000000000001</v>
      </c>
      <c r="N236" s="22">
        <v>0.47361111111111115</v>
      </c>
      <c r="O236" s="20">
        <v>90</v>
      </c>
      <c r="P236" s="20">
        <v>82</v>
      </c>
      <c r="Q236" s="20" t="s">
        <v>1001</v>
      </c>
      <c r="R236" s="20">
        <v>0</v>
      </c>
      <c r="S236" s="20" t="s">
        <v>11</v>
      </c>
      <c r="T236" s="20" t="s">
        <v>12</v>
      </c>
      <c r="U236" s="20" t="s">
        <v>13</v>
      </c>
      <c r="V236" s="20" t="s">
        <v>14</v>
      </c>
      <c r="W236" s="20" t="s">
        <v>15</v>
      </c>
      <c r="X236" s="20">
        <v>13858</v>
      </c>
      <c r="Y236" s="20">
        <v>169</v>
      </c>
      <c r="Z236" s="20">
        <v>2.5963E-2</v>
      </c>
      <c r="AA236" s="20">
        <v>533754</v>
      </c>
      <c r="AB236" s="20">
        <v>2.5963271469628332E-2</v>
      </c>
      <c r="AC236" s="20">
        <v>0.254</v>
      </c>
      <c r="AD236" s="20" t="s">
        <v>16</v>
      </c>
      <c r="AE236" s="20" t="s">
        <v>17</v>
      </c>
      <c r="AF236" s="20">
        <v>0</v>
      </c>
      <c r="AG236" s="20" t="s">
        <v>1001</v>
      </c>
      <c r="AH236" s="20" t="s">
        <v>687</v>
      </c>
      <c r="AI236" s="20" t="s">
        <v>15</v>
      </c>
      <c r="AJ236" s="20">
        <v>-1</v>
      </c>
      <c r="AK236" s="20" t="s">
        <v>15</v>
      </c>
      <c r="AL236" s="20">
        <v>-1</v>
      </c>
      <c r="AM236" s="20" t="s">
        <v>1002</v>
      </c>
      <c r="AN236">
        <v>234</v>
      </c>
    </row>
    <row r="237" spans="1:40" ht="15.75" thickBot="1" x14ac:dyDescent="0.3">
      <c r="A237" s="86" t="s">
        <v>7</v>
      </c>
      <c r="B237" s="87" t="s">
        <v>8</v>
      </c>
      <c r="C237" s="86" t="s">
        <v>9</v>
      </c>
      <c r="D237" s="87" t="s">
        <v>1003</v>
      </c>
      <c r="E237" s="86">
        <v>2018</v>
      </c>
      <c r="F237" s="86">
        <v>5</v>
      </c>
      <c r="G237" s="86" t="s">
        <v>329</v>
      </c>
      <c r="H237" s="86" t="s">
        <v>10</v>
      </c>
      <c r="I237" s="86" t="s">
        <v>352</v>
      </c>
      <c r="J237" s="86">
        <v>5030</v>
      </c>
      <c r="K237" s="86" t="s">
        <v>998</v>
      </c>
      <c r="L237" s="86" t="s">
        <v>998</v>
      </c>
      <c r="M237" s="88">
        <v>0.19513888888888889</v>
      </c>
      <c r="N237" s="88">
        <v>0.32777777777777778</v>
      </c>
      <c r="O237" s="86">
        <v>4667</v>
      </c>
      <c r="P237" s="86">
        <v>102</v>
      </c>
      <c r="Q237" s="86" t="s">
        <v>20</v>
      </c>
      <c r="R237" s="86">
        <v>100</v>
      </c>
      <c r="S237" s="86" t="s">
        <v>632</v>
      </c>
      <c r="T237" s="86" t="s">
        <v>1004</v>
      </c>
      <c r="U237" s="86" t="s">
        <v>13</v>
      </c>
      <c r="V237" s="86" t="s">
        <v>634</v>
      </c>
      <c r="W237" s="86" t="s">
        <v>15</v>
      </c>
      <c r="X237" s="86">
        <v>19482</v>
      </c>
      <c r="Y237" s="86">
        <v>191</v>
      </c>
      <c r="Z237" s="86">
        <v>3.6499999999999998E-2</v>
      </c>
      <c r="AA237" s="86">
        <v>533754</v>
      </c>
      <c r="AB237" s="86">
        <v>3.6499960656032553E-2</v>
      </c>
      <c r="AC237" s="86">
        <v>14.856999999999999</v>
      </c>
      <c r="AD237" s="86" t="s">
        <v>16</v>
      </c>
      <c r="AE237" s="86" t="s">
        <v>21</v>
      </c>
      <c r="AF237" s="86">
        <v>5030</v>
      </c>
      <c r="AG237" s="86">
        <v>0</v>
      </c>
      <c r="AH237" s="86" t="s">
        <v>702</v>
      </c>
      <c r="AI237" s="86" t="s">
        <v>15</v>
      </c>
      <c r="AJ237" s="86">
        <v>-1</v>
      </c>
      <c r="AK237" s="86" t="s">
        <v>15</v>
      </c>
      <c r="AL237" s="86">
        <v>-1</v>
      </c>
      <c r="AM237" s="86" t="s">
        <v>18</v>
      </c>
      <c r="AN237">
        <v>235</v>
      </c>
    </row>
    <row r="238" spans="1:40" x14ac:dyDescent="0.25">
      <c r="O238" t="s">
        <v>33</v>
      </c>
      <c r="P238" s="8">
        <f>SUM(P3:P237)</f>
        <v>31825</v>
      </c>
      <c r="V238" s="1" t="s">
        <v>33</v>
      </c>
      <c r="W238" s="8">
        <v>226</v>
      </c>
      <c r="X238" s="8">
        <f>SUM(X3:X237)</f>
        <v>5649593</v>
      </c>
      <c r="Y238" s="8">
        <f>SUM(Y3:Y237)</f>
        <v>68486</v>
      </c>
      <c r="AB238" s="9">
        <f>SUM(AB3:AB237)</f>
        <v>10.584638241586942</v>
      </c>
      <c r="AD238" s="5"/>
      <c r="AF238" s="5"/>
      <c r="AG238" s="5"/>
    </row>
    <row r="239" spans="1:40" x14ac:dyDescent="0.25">
      <c r="P239" s="8"/>
      <c r="V239" s="1"/>
      <c r="W239" s="8"/>
      <c r="X239" s="8"/>
      <c r="Y239" s="8"/>
      <c r="AA239" s="6" t="s">
        <v>0</v>
      </c>
      <c r="AB239" s="9"/>
      <c r="AC239" s="6" t="s">
        <v>72</v>
      </c>
      <c r="AD239" s="10"/>
      <c r="AE239" s="10"/>
      <c r="AF239" s="10"/>
      <c r="AG239" s="10"/>
    </row>
    <row r="240" spans="1:40" x14ac:dyDescent="0.25">
      <c r="AA240" s="2" t="s">
        <v>38</v>
      </c>
      <c r="AB240" s="11">
        <f>AB238</f>
        <v>10.584638241586942</v>
      </c>
      <c r="AC240" s="12"/>
      <c r="AD240" s="14"/>
      <c r="AE240" s="10"/>
      <c r="AF240" s="15"/>
      <c r="AG240" s="16"/>
    </row>
    <row r="241" spans="27:33" x14ac:dyDescent="0.25">
      <c r="AA241" s="2" t="s">
        <v>39</v>
      </c>
      <c r="AB241" s="11">
        <f>P238/AA4</f>
        <v>5.9624845902794169E-2</v>
      </c>
      <c r="AC241" s="12"/>
      <c r="AD241" s="14"/>
      <c r="AE241" s="10"/>
      <c r="AF241" s="15"/>
      <c r="AG241" s="10"/>
    </row>
    <row r="242" spans="27:33" x14ac:dyDescent="0.25">
      <c r="AA242" s="2" t="s">
        <v>40</v>
      </c>
      <c r="AB242" s="11">
        <f>X238/P238</f>
        <v>177.52059701492539</v>
      </c>
      <c r="AC242" s="12"/>
      <c r="AD242" s="14"/>
      <c r="AE242" s="10"/>
      <c r="AF242" s="15"/>
      <c r="AG242" s="10"/>
    </row>
    <row r="243" spans="27:33" x14ac:dyDescent="0.25">
      <c r="AA243" s="2" t="s">
        <v>41</v>
      </c>
      <c r="AB243" s="11">
        <f>Y238/W238</f>
        <v>303.0353982300885</v>
      </c>
      <c r="AC243" s="12"/>
      <c r="AD243" s="14"/>
      <c r="AE243" s="10"/>
      <c r="AF243" s="15"/>
      <c r="AG243" s="10"/>
    </row>
    <row r="244" spans="27:33" x14ac:dyDescent="0.25">
      <c r="AA244" s="2" t="s">
        <v>42</v>
      </c>
      <c r="AB244" s="11">
        <f>P238/W238</f>
        <v>140.81858407079645</v>
      </c>
      <c r="AC244" s="12"/>
      <c r="AD244" s="14"/>
      <c r="AE244" s="10"/>
      <c r="AF244" s="15"/>
      <c r="AG244" s="10"/>
    </row>
    <row r="245" spans="27:33" x14ac:dyDescent="0.25">
      <c r="AA245" s="13" t="s">
        <v>43</v>
      </c>
      <c r="AB245" s="11">
        <f>W238</f>
        <v>226</v>
      </c>
      <c r="AC245" s="12"/>
      <c r="AD245" s="14"/>
      <c r="AE245" s="10"/>
      <c r="AF245" s="15"/>
      <c r="AG245" s="10"/>
    </row>
    <row r="246" spans="27:33" x14ac:dyDescent="0.25">
      <c r="AD246" s="5"/>
      <c r="AF246" s="5"/>
      <c r="AG24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MENSUAL 2018 ZT</vt:lpstr>
      <vt:lpstr>ACUMULADO 2018 ZT</vt:lpstr>
      <vt:lpstr>RESULTADO META VS REAL</vt:lpstr>
      <vt:lpstr>CONFIABILIDAD MENSUAL 2018</vt:lpstr>
      <vt:lpstr>SAIDI POR CIRCUITO vs MANTTO</vt:lpstr>
      <vt:lpstr>SAIDI POR CAUSA</vt:lpstr>
      <vt:lpstr>RAMALES POR CAUSA-NI-SAIDI-TPR</vt:lpstr>
      <vt:lpstr>BASE DE 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cfe</dc:creator>
  <cp:lastModifiedBy>Carlos Sarmiento</cp:lastModifiedBy>
  <dcterms:created xsi:type="dcterms:W3CDTF">2018-06-01T19:25:07Z</dcterms:created>
  <dcterms:modified xsi:type="dcterms:W3CDTF">2018-07-16T02:29:33Z</dcterms:modified>
</cp:coreProperties>
</file>