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CHARU\Desktop\CHARU BHARDWAJ\STATS (Practice Dataset)\"/>
    </mc:Choice>
  </mc:AlternateContent>
  <xr:revisionPtr revIDLastSave="0" documentId="13_ncr:1_{016DA413-151F-4F44-B00B-A249A664DE6F}" xr6:coauthVersionLast="47" xr6:coauthVersionMax="47" xr10:uidLastSave="{00000000-0000-0000-0000-000000000000}"/>
  <bookViews>
    <workbookView xWindow="-120" yWindow="-120" windowWidth="20730" windowHeight="11160" xr2:uid="{15688E9F-C798-47FE-A554-A087A30E0678}"/>
  </bookViews>
  <sheets>
    <sheet name="Dashboard" sheetId="3" r:id="rId1"/>
    <sheet name="Raw Data-Cafe Orders" sheetId="1" r:id="rId2"/>
    <sheet name="Pivot Table Sheet" sheetId="4" r:id="rId3"/>
    <sheet name="Manual Charts" sheetId="5" state="hidden" r:id="rId4"/>
    <sheet name="Stats Summary" sheetId="2" r:id="rId5"/>
  </sheets>
  <definedNames>
    <definedName name="_xlnm._FilterDatabase" localSheetId="1" hidden="1">'Raw Data-Cafe Orders'!$A$1:$L$1</definedName>
    <definedName name="Slicer_Order_Type">#N/A</definedName>
    <definedName name="Slicer_Time_of_Or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4" i="2" l="1"/>
  <c r="B53" i="2"/>
  <c r="B52" i="2"/>
  <c r="P2" i="2"/>
  <c r="B19" i="2"/>
  <c r="B18" i="2"/>
  <c r="B17" i="2"/>
  <c r="B16" i="2"/>
  <c r="B9" i="2"/>
  <c r="B6" i="2"/>
  <c r="B5" i="2"/>
  <c r="B4" i="2"/>
  <c r="B3" i="2"/>
  <c r="M2" i="1"/>
  <c r="O2" i="1" s="1"/>
  <c r="M3" i="1"/>
  <c r="N3" i="1" s="1"/>
  <c r="M4" i="1"/>
  <c r="N4" i="1" s="1"/>
  <c r="M5" i="1"/>
  <c r="N5" i="1" s="1"/>
  <c r="M6" i="1"/>
  <c r="N6" i="1" s="1"/>
  <c r="M7" i="1"/>
  <c r="N7" i="1" s="1"/>
  <c r="M8" i="1"/>
  <c r="N8" i="1" s="1"/>
  <c r="M9" i="1"/>
  <c r="O9" i="1" s="1"/>
  <c r="M10" i="1"/>
  <c r="N10" i="1" s="1"/>
  <c r="M11" i="1"/>
  <c r="N11" i="1" s="1"/>
  <c r="M12" i="1"/>
  <c r="N12" i="1" s="1"/>
  <c r="M13" i="1"/>
  <c r="O13" i="1" s="1"/>
  <c r="M14" i="1"/>
  <c r="N14" i="1" s="1"/>
  <c r="M15" i="1"/>
  <c r="N15" i="1" s="1"/>
  <c r="M16" i="1"/>
  <c r="N16" i="1" s="1"/>
  <c r="M17" i="1"/>
  <c r="O17" i="1" s="1"/>
  <c r="M18" i="1"/>
  <c r="N18" i="1" s="1"/>
  <c r="M19" i="1"/>
  <c r="N19" i="1" s="1"/>
  <c r="M20" i="1"/>
  <c r="N20" i="1" s="1"/>
  <c r="M21" i="1"/>
  <c r="O21" i="1" s="1"/>
  <c r="M22" i="1"/>
  <c r="N22" i="1" s="1"/>
  <c r="M23" i="1"/>
  <c r="N23" i="1" s="1"/>
  <c r="M24" i="1"/>
  <c r="N24" i="1" s="1"/>
  <c r="M25" i="1"/>
  <c r="O25" i="1" s="1"/>
  <c r="M26" i="1"/>
  <c r="N26" i="1" s="1"/>
  <c r="M27" i="1"/>
  <c r="N27" i="1" s="1"/>
  <c r="M28" i="1"/>
  <c r="N28" i="1" s="1"/>
  <c r="M29" i="1"/>
  <c r="O29" i="1" s="1"/>
  <c r="M30" i="1"/>
  <c r="N30" i="1" s="1"/>
  <c r="M31" i="1"/>
  <c r="N31" i="1" s="1"/>
  <c r="M32" i="1"/>
  <c r="N32" i="1" s="1"/>
  <c r="M33" i="1"/>
  <c r="O33" i="1" s="1"/>
  <c r="M34" i="1"/>
  <c r="N34" i="1" s="1"/>
  <c r="M35" i="1"/>
  <c r="N35" i="1" s="1"/>
  <c r="M36" i="1"/>
  <c r="N36" i="1" s="1"/>
  <c r="M37" i="1"/>
  <c r="O37" i="1" s="1"/>
  <c r="M38" i="1"/>
  <c r="N38" i="1" s="1"/>
  <c r="M39" i="1"/>
  <c r="N39" i="1" s="1"/>
  <c r="M40" i="1"/>
  <c r="N40" i="1" s="1"/>
  <c r="M41" i="1"/>
  <c r="O41" i="1" s="1"/>
  <c r="M42" i="1"/>
  <c r="N42" i="1" s="1"/>
  <c r="M43" i="1"/>
  <c r="N43" i="1" s="1"/>
  <c r="M44" i="1"/>
  <c r="N44" i="1" s="1"/>
  <c r="M45" i="1"/>
  <c r="O45" i="1" s="1"/>
  <c r="M46" i="1"/>
  <c r="N46" i="1" s="1"/>
  <c r="M47" i="1"/>
  <c r="N47" i="1" s="1"/>
  <c r="M48" i="1"/>
  <c r="N48" i="1" s="1"/>
  <c r="M49" i="1"/>
  <c r="O49" i="1" s="1"/>
  <c r="M50" i="1"/>
  <c r="N50" i="1" s="1"/>
  <c r="O5" i="1" l="1"/>
  <c r="N49" i="1"/>
  <c r="N25" i="1"/>
  <c r="N21" i="1"/>
  <c r="O26" i="1"/>
  <c r="O10" i="1"/>
  <c r="O42" i="1"/>
  <c r="N37" i="1"/>
  <c r="N17" i="1"/>
  <c r="O6" i="1"/>
  <c r="O18" i="1"/>
  <c r="O34" i="1"/>
  <c r="O50" i="1"/>
  <c r="O14" i="1"/>
  <c r="O30" i="1"/>
  <c r="O46" i="1"/>
  <c r="N33" i="1"/>
  <c r="N9" i="1"/>
  <c r="O22" i="1"/>
  <c r="O38" i="1"/>
  <c r="O47" i="1"/>
  <c r="O3" i="1"/>
  <c r="O11" i="1"/>
  <c r="O15" i="1"/>
  <c r="O19" i="1"/>
  <c r="O23" i="1"/>
  <c r="O27" i="1"/>
  <c r="O31" i="1"/>
  <c r="O35" i="1"/>
  <c r="O39" i="1"/>
  <c r="O43" i="1"/>
  <c r="N45" i="1"/>
  <c r="N29" i="1"/>
  <c r="N13" i="1"/>
  <c r="O4" i="1"/>
  <c r="O8" i="1"/>
  <c r="B36" i="2" s="1"/>
  <c r="O12" i="1"/>
  <c r="O16" i="1"/>
  <c r="O20" i="1"/>
  <c r="O24" i="1"/>
  <c r="O28" i="1"/>
  <c r="O32" i="1"/>
  <c r="O36" i="1"/>
  <c r="O40" i="1"/>
  <c r="O44" i="1"/>
  <c r="O48" i="1"/>
  <c r="O7" i="1"/>
  <c r="N41" i="1"/>
  <c r="N2" i="1"/>
  <c r="B39" i="2" l="1"/>
  <c r="B27" i="2"/>
  <c r="B30" i="2"/>
  <c r="B38" i="2"/>
  <c r="B20" i="2"/>
  <c r="B29" i="2"/>
  <c r="B37" i="2"/>
  <c r="B26" i="2"/>
  <c r="B45" i="2"/>
  <c r="B28" i="2"/>
  <c r="P7" i="1"/>
  <c r="Q7" i="1" s="1"/>
  <c r="P40" i="1"/>
  <c r="Q40" i="1" s="1"/>
  <c r="P24" i="1"/>
  <c r="Q24" i="1" s="1"/>
  <c r="P8" i="1"/>
  <c r="Q8" i="1" s="1"/>
  <c r="P31" i="1"/>
  <c r="Q31" i="1" s="1"/>
  <c r="P15" i="1"/>
  <c r="Q15" i="1" s="1"/>
  <c r="P10" i="1"/>
  <c r="Q10" i="1" s="1"/>
  <c r="P22" i="1"/>
  <c r="Q22" i="1" s="1"/>
  <c r="P30" i="1"/>
  <c r="Q30" i="1" s="1"/>
  <c r="P34" i="1"/>
  <c r="Q34" i="1" s="1"/>
  <c r="B2" i="2"/>
  <c r="P36" i="1"/>
  <c r="Q36" i="1" s="1"/>
  <c r="P20" i="1"/>
  <c r="Q20" i="1" s="1"/>
  <c r="P4" i="1"/>
  <c r="Q4" i="1" s="1"/>
  <c r="P43" i="1"/>
  <c r="Q43" i="1" s="1"/>
  <c r="P27" i="1"/>
  <c r="Q27" i="1" s="1"/>
  <c r="P11" i="1"/>
  <c r="Q11" i="1" s="1"/>
  <c r="P26" i="1"/>
  <c r="Q26" i="1" s="1"/>
  <c r="P14" i="1"/>
  <c r="Q14" i="1" s="1"/>
  <c r="P18" i="1"/>
  <c r="Q18" i="1" s="1"/>
  <c r="P48" i="1"/>
  <c r="Q48" i="1" s="1"/>
  <c r="P32" i="1"/>
  <c r="Q32" i="1" s="1"/>
  <c r="P16" i="1"/>
  <c r="Q16" i="1" s="1"/>
  <c r="P39" i="1"/>
  <c r="Q39" i="1" s="1"/>
  <c r="P23" i="1"/>
  <c r="Q23" i="1" s="1"/>
  <c r="P5" i="1"/>
  <c r="Q5" i="1" s="1"/>
  <c r="P17" i="1"/>
  <c r="Q17" i="1" s="1"/>
  <c r="P25" i="1"/>
  <c r="Q25" i="1" s="1"/>
  <c r="P33" i="1"/>
  <c r="Q33" i="1" s="1"/>
  <c r="P45" i="1"/>
  <c r="Q45" i="1" s="1"/>
  <c r="P3" i="1"/>
  <c r="Q3" i="1" s="1"/>
  <c r="P13" i="1"/>
  <c r="Q13" i="1" s="1"/>
  <c r="P21" i="1"/>
  <c r="Q21" i="1" s="1"/>
  <c r="P29" i="1"/>
  <c r="Q29" i="1" s="1"/>
  <c r="P37" i="1"/>
  <c r="Q37" i="1" s="1"/>
  <c r="P41" i="1"/>
  <c r="Q41" i="1" s="1"/>
  <c r="P49" i="1"/>
  <c r="Q49" i="1" s="1"/>
  <c r="P42" i="1"/>
  <c r="Q42" i="1" s="1"/>
  <c r="P2" i="1"/>
  <c r="Q2" i="1" s="1"/>
  <c r="P6" i="1"/>
  <c r="Q6" i="1" s="1"/>
  <c r="P44" i="1"/>
  <c r="Q44" i="1" s="1"/>
  <c r="P28" i="1"/>
  <c r="Q28" i="1" s="1"/>
  <c r="P12" i="1"/>
  <c r="Q12" i="1" s="1"/>
  <c r="P35" i="1"/>
  <c r="Q35" i="1" s="1"/>
  <c r="P19" i="1"/>
  <c r="Q19" i="1" s="1"/>
  <c r="P47" i="1"/>
  <c r="Q47" i="1" s="1"/>
  <c r="P38" i="1"/>
  <c r="Q38" i="1" s="1"/>
  <c r="P46" i="1"/>
  <c r="Q46" i="1" s="1"/>
  <c r="P50" i="1"/>
  <c r="Q50" i="1" s="1"/>
  <c r="P9" i="1"/>
  <c r="Q9" i="1" s="1"/>
  <c r="B8" i="2"/>
  <c r="B7" i="2"/>
</calcChain>
</file>

<file path=xl/sharedStrings.xml><?xml version="1.0" encoding="utf-8"?>
<sst xmlns="http://schemas.openxmlformats.org/spreadsheetml/2006/main" count="322" uniqueCount="77">
  <si>
    <t>Order ID</t>
  </si>
  <si>
    <t>Date</t>
  </si>
  <si>
    <t>Item Name</t>
  </si>
  <si>
    <t>Category</t>
  </si>
  <si>
    <t>Quantity</t>
  </si>
  <si>
    <t>Unit Price</t>
  </si>
  <si>
    <t>Discount(%)</t>
  </si>
  <si>
    <t>Payment Mode</t>
  </si>
  <si>
    <t>Customer Age</t>
  </si>
  <si>
    <t>Sandwich</t>
  </si>
  <si>
    <t>Burger</t>
  </si>
  <si>
    <t>Pasta</t>
  </si>
  <si>
    <t>Muffin</t>
  </si>
  <si>
    <t>Pizza</t>
  </si>
  <si>
    <t>Cake</t>
  </si>
  <si>
    <t>Cold coffee</t>
  </si>
  <si>
    <t>Hot coffee</t>
  </si>
  <si>
    <t xml:space="preserve">Tea </t>
  </si>
  <si>
    <t xml:space="preserve">Lemonade </t>
  </si>
  <si>
    <t>Smoothie</t>
  </si>
  <si>
    <t>Hot Chocolate</t>
  </si>
  <si>
    <t>Chocolate Shake</t>
  </si>
  <si>
    <t>Savory</t>
  </si>
  <si>
    <t>Beverage</t>
  </si>
  <si>
    <t>Bakery</t>
  </si>
  <si>
    <t>UPI</t>
  </si>
  <si>
    <t>CASH</t>
  </si>
  <si>
    <t>CARD</t>
  </si>
  <si>
    <t>Time of Order</t>
  </si>
  <si>
    <t>Order Type</t>
  </si>
  <si>
    <t>Feedback Rating</t>
  </si>
  <si>
    <t>Morning</t>
  </si>
  <si>
    <t>Afternoon</t>
  </si>
  <si>
    <t>Evening</t>
  </si>
  <si>
    <t>Night</t>
  </si>
  <si>
    <t>Dine-In</t>
  </si>
  <si>
    <t>Take-Away</t>
  </si>
  <si>
    <t>Delivery</t>
  </si>
  <si>
    <t>Total Price</t>
  </si>
  <si>
    <t>Discounted Amount</t>
  </si>
  <si>
    <t>Final Bill</t>
  </si>
  <si>
    <t>METRIC NAME</t>
  </si>
  <si>
    <t>VALUE</t>
  </si>
  <si>
    <t>Average Final Bill</t>
  </si>
  <si>
    <t>Average Quantity Ordered</t>
  </si>
  <si>
    <t>Average Customer Age</t>
  </si>
  <si>
    <t>Average feedback Rating</t>
  </si>
  <si>
    <t>Average Discount (%)</t>
  </si>
  <si>
    <t>Highest Final Bill</t>
  </si>
  <si>
    <t>Lowest Final Bill</t>
  </si>
  <si>
    <t>Total Number of Orders</t>
  </si>
  <si>
    <t>Avg Final Bill - The Typical amount a customer pays after discount</t>
  </si>
  <si>
    <t>Time Of Order</t>
  </si>
  <si>
    <t>Number of Orders</t>
  </si>
  <si>
    <t>Z-Score</t>
  </si>
  <si>
    <t>Standard Deviation (Final Bill)</t>
  </si>
  <si>
    <t>Standard Population Deviation</t>
  </si>
  <si>
    <t>RANK</t>
  </si>
  <si>
    <t>Time Of Day</t>
  </si>
  <si>
    <t>Average Final Bill By Time of Day</t>
  </si>
  <si>
    <t>Top 5 Final Bills (Without Sorting)</t>
  </si>
  <si>
    <t>Correlation B/w Age &amp; Final Bill</t>
  </si>
  <si>
    <t>Age v/s Final Bill</t>
  </si>
  <si>
    <t>The Value is close to 0</t>
  </si>
  <si>
    <r>
      <rPr>
        <i/>
        <sz val="11"/>
        <color theme="1"/>
        <rFont val="Aptos Narrow"/>
        <family val="2"/>
        <scheme val="minor"/>
      </rPr>
      <t xml:space="preserve">
</t>
    </r>
    <r>
      <rPr>
        <b/>
        <sz val="11"/>
        <color theme="1"/>
        <rFont val="Aptos Narrow"/>
        <family val="2"/>
        <scheme val="minor"/>
      </rPr>
      <t>AGE DOSEN'T INFLUENCE SPENDING-BOTH YOUNG AND OLD CUSTOMER SPEND SIMILARLY</t>
    </r>
  </si>
  <si>
    <t>Order By Time</t>
  </si>
  <si>
    <t>Order Type Distribution Table</t>
  </si>
  <si>
    <t xml:space="preserve">Order Type </t>
  </si>
  <si>
    <t>Frequency</t>
  </si>
  <si>
    <t>Takeaway</t>
  </si>
  <si>
    <t>Row Labels</t>
  </si>
  <si>
    <t>Grand Total</t>
  </si>
  <si>
    <t>Sum of Final Bill</t>
  </si>
  <si>
    <t>Count of Order ID</t>
  </si>
  <si>
    <t>Order Type Distribution</t>
  </si>
  <si>
    <t>s</t>
  </si>
  <si>
    <t>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</si>
</sst>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000"/>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
      <b/>
      <i/>
      <sz val="11"/>
      <color theme="1"/>
      <name val="Aptos Narrow"/>
      <family val="2"/>
      <scheme val="minor"/>
    </font>
    <font>
      <i/>
      <sz val="11"/>
      <color theme="1"/>
      <name val="Aptos Narrow"/>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164" fontId="0" fillId="0" borderId="0" xfId="0" applyNumberFormat="1"/>
    <xf numFmtId="44" fontId="0" fillId="0" borderId="0" xfId="0" applyNumberFormat="1"/>
    <xf numFmtId="164" fontId="0" fillId="0" borderId="2" xfId="0" applyNumberFormat="1" applyBorder="1"/>
    <xf numFmtId="0" fontId="0" fillId="0" borderId="3" xfId="0" applyBorder="1"/>
    <xf numFmtId="44" fontId="0" fillId="0" borderId="3" xfId="0" applyNumberFormat="1" applyBorder="1"/>
    <xf numFmtId="0" fontId="0" fillId="0" borderId="4" xfId="0" applyBorder="1"/>
    <xf numFmtId="164" fontId="0" fillId="0" borderId="5" xfId="0" applyNumberFormat="1" applyBorder="1"/>
    <xf numFmtId="14" fontId="0" fillId="0" borderId="1" xfId="0" applyNumberFormat="1" applyBorder="1"/>
    <xf numFmtId="0" fontId="0" fillId="0" borderId="1" xfId="0" applyBorder="1"/>
    <xf numFmtId="44" fontId="0" fillId="0" borderId="1" xfId="0" applyNumberFormat="1" applyBorder="1"/>
    <xf numFmtId="0" fontId="0" fillId="0" borderId="1" xfId="0" applyNumberFormat="1" applyBorder="1"/>
    <xf numFmtId="0" fontId="0" fillId="0" borderId="6" xfId="0" applyBorder="1"/>
    <xf numFmtId="164" fontId="0" fillId="0" borderId="7" xfId="0" applyNumberFormat="1" applyBorder="1"/>
    <xf numFmtId="14" fontId="0" fillId="0" borderId="8" xfId="0" applyNumberFormat="1" applyBorder="1"/>
    <xf numFmtId="0" fontId="0" fillId="0" borderId="8" xfId="0" applyBorder="1"/>
    <xf numFmtId="44" fontId="0" fillId="0" borderId="8" xfId="0" applyNumberFormat="1" applyBorder="1"/>
    <xf numFmtId="0" fontId="0" fillId="0" borderId="8" xfId="0" applyNumberFormat="1" applyBorder="1"/>
    <xf numFmtId="0" fontId="0" fillId="0" borderId="9" xfId="0" applyBorder="1"/>
    <xf numFmtId="43" fontId="0" fillId="0" borderId="1" xfId="1" applyFont="1" applyBorder="1"/>
    <xf numFmtId="0" fontId="2" fillId="0" borderId="1" xfId="0" applyFont="1" applyBorder="1"/>
    <xf numFmtId="0" fontId="0" fillId="0" borderId="0" xfId="0" applyAlignment="1">
      <alignment horizontal="left"/>
    </xf>
    <xf numFmtId="2" fontId="0" fillId="0" borderId="3" xfId="0" applyNumberFormat="1" applyBorder="1"/>
    <xf numFmtId="0" fontId="4" fillId="0" borderId="1" xfId="0" applyFont="1" applyFill="1" applyBorder="1"/>
    <xf numFmtId="0" fontId="2" fillId="0" borderId="0" xfId="0" applyFont="1" applyBorder="1"/>
    <xf numFmtId="43" fontId="2" fillId="0" borderId="1" xfId="1" applyFont="1" applyBorder="1"/>
    <xf numFmtId="0" fontId="4" fillId="0" borderId="1" xfId="0" applyFont="1" applyBorder="1"/>
    <xf numFmtId="0" fontId="0" fillId="0" borderId="0" xfId="0" applyFont="1"/>
    <xf numFmtId="0" fontId="0" fillId="0" borderId="0" xfId="0" pivotButton="1"/>
    <xf numFmtId="0" fontId="0" fillId="0" borderId="0" xfId="0" applyNumberFormat="1"/>
    <xf numFmtId="164" fontId="0" fillId="0" borderId="0" xfId="0" applyNumberFormat="1" applyAlignment="1">
      <alignment horizontal="left"/>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4" fillId="0" borderId="1" xfId="0" applyFont="1" applyBorder="1" applyAlignment="1">
      <alignment horizontal="center"/>
    </xf>
    <xf numFmtId="0" fontId="5" fillId="0" borderId="10" xfId="0" applyFont="1" applyBorder="1" applyAlignment="1">
      <alignment horizontal="center"/>
    </xf>
    <xf numFmtId="0" fontId="4" fillId="0" borderId="11" xfId="0" applyFont="1" applyBorder="1" applyAlignment="1">
      <alignment horizontal="center"/>
    </xf>
  </cellXfs>
  <cellStyles count="2">
    <cellStyle name="Comma" xfId="1" builtinId="3"/>
    <cellStyle name="Normal" xfId="0" builtinId="0"/>
  </cellStyles>
  <dxfs count="21">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0"/>
      <border diagonalUp="0" diagonalDown="0" outline="0">
        <left style="thin">
          <color indexed="64"/>
        </left>
        <right style="thin">
          <color indexed="64"/>
        </right>
        <top style="thin">
          <color indexed="64"/>
        </top>
        <bottom style="thin">
          <color indexed="64"/>
        </bottom>
      </border>
    </dxf>
    <dxf>
      <numFmt numFmtId="34" formatCode="_ &quot;₹&quot;\ * #,##0.00_ ;_ &quot;₹&quot;\ * \-#,##0.00_ ;_ &quot;₹&quot;\ * &quot;-&quot;??_ ;_ @_ "/>
      <border diagonalUp="0" diagonalDown="0" outline="0">
        <left style="thin">
          <color indexed="64"/>
        </left>
        <right style="thin">
          <color indexed="64"/>
        </right>
        <top style="thin">
          <color indexed="64"/>
        </top>
        <bottom style="thin">
          <color indexed="64"/>
        </bottom>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[Cafe Order (Mini Dataset 1).xlsx]Pivot Table Sheet!PivotTable1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Final Bill By Order-Type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Sheet'!$A$4:$A$7</c:f>
              <c:strCache>
                <c:ptCount val="3"/>
                <c:pt idx="0">
                  <c:v>Delivery</c:v>
                </c:pt>
                <c:pt idx="1">
                  <c:v>Dine-In</c:v>
                </c:pt>
                <c:pt idx="2">
                  <c:v>Take-Away</c:v>
                </c:pt>
              </c:strCache>
            </c:strRef>
          </c:cat>
          <c:val>
            <c:numRef>
              <c:f>'Pivot Table Sheet'!$B$4:$B$7</c:f>
              <c:numCache>
                <c:formatCode>General</c:formatCode>
                <c:ptCount val="3"/>
                <c:pt idx="0">
                  <c:v>87615</c:v>
                </c:pt>
                <c:pt idx="1">
                  <c:v>87826</c:v>
                </c:pt>
                <c:pt idx="2">
                  <c:v>84662</c:v>
                </c:pt>
              </c:numCache>
            </c:numRef>
          </c:val>
          <c:extLst>
            <c:ext xmlns:c16="http://schemas.microsoft.com/office/drawing/2014/chart" uri="{C3380CC4-5D6E-409C-BE32-E72D297353CC}">
              <c16:uniqueId val="{00000000-EA09-42E9-AAF4-3B49C56CF0F4}"/>
            </c:ext>
          </c:extLst>
        </c:ser>
        <c:dLbls>
          <c:dLblPos val="inEnd"/>
          <c:showLegendKey val="0"/>
          <c:showVal val="1"/>
          <c:showCatName val="0"/>
          <c:showSerName val="0"/>
          <c:showPercent val="0"/>
          <c:showBubbleSize val="0"/>
        </c:dLbls>
        <c:gapWidth val="219"/>
        <c:overlap val="-27"/>
        <c:axId val="1377282191"/>
        <c:axId val="1377283151"/>
      </c:barChart>
      <c:catAx>
        <c:axId val="13772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3151"/>
        <c:crosses val="autoZero"/>
        <c:auto val="1"/>
        <c:lblAlgn val="ctr"/>
        <c:lblOffset val="100"/>
        <c:noMultiLvlLbl val="0"/>
      </c:catAx>
      <c:valAx>
        <c:axId val="13772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[Cafe Order (Mini Dataset 1).xlsx]Pivot Table Sheet!PivotTable2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 by Time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Sheet'!$B$12</c:f>
              <c:strCache>
                <c:ptCount val="1"/>
                <c:pt idx="0">
                  <c:v>Total</c:v>
                </c:pt>
              </c:strCache>
            </c:strRef>
          </c:tx>
          <c:spPr>
            <a:solidFill>
              <a:schemeClr val="accent5"/>
            </a:solidFill>
            <a:ln>
              <a:noFill/>
            </a:ln>
            <a:effectLst/>
          </c:spPr>
          <c:invertIfNegative val="0"/>
          <c:cat>
            <c:strRef>
              <c:f>'Pivot Table Sheet'!$A$13:$A$17</c:f>
              <c:strCache>
                <c:ptCount val="4"/>
                <c:pt idx="0">
                  <c:v>Afternoon</c:v>
                </c:pt>
                <c:pt idx="1">
                  <c:v>Evening</c:v>
                </c:pt>
                <c:pt idx="2">
                  <c:v>Morning</c:v>
                </c:pt>
                <c:pt idx="3">
                  <c:v>Night</c:v>
                </c:pt>
              </c:strCache>
            </c:strRef>
          </c:cat>
          <c:val>
            <c:numRef>
              <c:f>'Pivot Table Sheet'!$B$13:$B$17</c:f>
              <c:numCache>
                <c:formatCode>General</c:formatCode>
                <c:ptCount val="4"/>
                <c:pt idx="0">
                  <c:v>8</c:v>
                </c:pt>
                <c:pt idx="1">
                  <c:v>15</c:v>
                </c:pt>
                <c:pt idx="2">
                  <c:v>13</c:v>
                </c:pt>
                <c:pt idx="3">
                  <c:v>13</c:v>
                </c:pt>
              </c:numCache>
            </c:numRef>
          </c:val>
          <c:extLst>
            <c:ext xmlns:c16="http://schemas.microsoft.com/office/drawing/2014/chart" uri="{C3380CC4-5D6E-409C-BE32-E72D297353CC}">
              <c16:uniqueId val="{00000000-46E3-40CC-8806-4C569848C45B}"/>
            </c:ext>
          </c:extLst>
        </c:ser>
        <c:dLbls>
          <c:showLegendKey val="0"/>
          <c:showVal val="0"/>
          <c:showCatName val="0"/>
          <c:showSerName val="0"/>
          <c:showPercent val="0"/>
          <c:showBubbleSize val="0"/>
        </c:dLbls>
        <c:gapWidth val="219"/>
        <c:overlap val="-27"/>
        <c:axId val="1380560127"/>
        <c:axId val="1380555807"/>
      </c:barChart>
      <c:catAx>
        <c:axId val="13805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55807"/>
        <c:crosses val="autoZero"/>
        <c:auto val="1"/>
        <c:lblAlgn val="ctr"/>
        <c:lblOffset val="100"/>
        <c:noMultiLvlLbl val="0"/>
      </c:catAx>
      <c:valAx>
        <c:axId val="138055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[Cafe Order (Mini Dataset 1).xlsx]Pivot Table Sheet!PivotTable3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Final</a:t>
            </a:r>
            <a:r>
              <a:rPr lang="en-US" baseline="0"/>
              <a:t> Bill Trend Across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Sheet'!$B$22</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Sheet'!$A$23:$A$72</c:f>
              <c:strCache>
                <c:ptCount val="49"/>
                <c:pt idx="0">
                  <c:v>001</c:v>
                </c:pt>
                <c:pt idx="1">
                  <c:v>002</c:v>
                </c:pt>
                <c:pt idx="2">
                  <c:v>003</c:v>
                </c:pt>
                <c:pt idx="3">
                  <c:v>004</c:v>
                </c:pt>
                <c:pt idx="4">
                  <c:v>005</c:v>
                </c:pt>
                <c:pt idx="5">
                  <c:v>006</c:v>
                </c:pt>
                <c:pt idx="6">
                  <c:v>007</c:v>
                </c:pt>
                <c:pt idx="7">
                  <c:v>008</c:v>
                </c:pt>
                <c:pt idx="8">
                  <c:v>009</c:v>
                </c:pt>
                <c:pt idx="9">
                  <c:v>010</c:v>
                </c:pt>
                <c:pt idx="10">
                  <c:v>011</c:v>
                </c:pt>
                <c:pt idx="11">
                  <c:v>012</c:v>
                </c:pt>
                <c:pt idx="12">
                  <c:v>013</c:v>
                </c:pt>
                <c:pt idx="13">
                  <c:v>014</c:v>
                </c:pt>
                <c:pt idx="14">
                  <c:v>015</c:v>
                </c:pt>
                <c:pt idx="15">
                  <c:v>016</c:v>
                </c:pt>
                <c:pt idx="16">
                  <c:v>017</c:v>
                </c:pt>
                <c:pt idx="17">
                  <c:v>018</c:v>
                </c:pt>
                <c:pt idx="18">
                  <c:v>019</c:v>
                </c:pt>
                <c:pt idx="19">
                  <c:v>020</c:v>
                </c:pt>
                <c:pt idx="20">
                  <c:v>021</c:v>
                </c:pt>
                <c:pt idx="21">
                  <c:v>022</c:v>
                </c:pt>
                <c:pt idx="22">
                  <c:v>023</c:v>
                </c:pt>
                <c:pt idx="23">
                  <c:v>024</c:v>
                </c:pt>
                <c:pt idx="24">
                  <c:v>025</c:v>
                </c:pt>
                <c:pt idx="25">
                  <c:v>026</c:v>
                </c:pt>
                <c:pt idx="26">
                  <c:v>027</c:v>
                </c:pt>
                <c:pt idx="27">
                  <c:v>028</c:v>
                </c:pt>
                <c:pt idx="28">
                  <c:v>029</c:v>
                </c:pt>
                <c:pt idx="29">
                  <c:v>030</c:v>
                </c:pt>
                <c:pt idx="30">
                  <c:v>031</c:v>
                </c:pt>
                <c:pt idx="31">
                  <c:v>032</c:v>
                </c:pt>
                <c:pt idx="32">
                  <c:v>033</c:v>
                </c:pt>
                <c:pt idx="33">
                  <c:v>034</c:v>
                </c:pt>
                <c:pt idx="34">
                  <c:v>035</c:v>
                </c:pt>
                <c:pt idx="35">
                  <c:v>036</c:v>
                </c:pt>
                <c:pt idx="36">
                  <c:v>037</c:v>
                </c:pt>
                <c:pt idx="37">
                  <c:v>038</c:v>
                </c:pt>
                <c:pt idx="38">
                  <c:v>039</c:v>
                </c:pt>
                <c:pt idx="39">
                  <c:v>040</c:v>
                </c:pt>
                <c:pt idx="40">
                  <c:v>041</c:v>
                </c:pt>
                <c:pt idx="41">
                  <c:v>042</c:v>
                </c:pt>
                <c:pt idx="42">
                  <c:v>043</c:v>
                </c:pt>
                <c:pt idx="43">
                  <c:v>044</c:v>
                </c:pt>
                <c:pt idx="44">
                  <c:v>045</c:v>
                </c:pt>
                <c:pt idx="45">
                  <c:v>046</c:v>
                </c:pt>
                <c:pt idx="46">
                  <c:v>047</c:v>
                </c:pt>
                <c:pt idx="47">
                  <c:v>048</c:v>
                </c:pt>
                <c:pt idx="48">
                  <c:v>049</c:v>
                </c:pt>
              </c:strCache>
            </c:strRef>
          </c:cat>
          <c:val>
            <c:numRef>
              <c:f>'Pivot Table Sheet'!$B$23:$B$72</c:f>
              <c:numCache>
                <c:formatCode>General</c:formatCode>
                <c:ptCount val="49"/>
                <c:pt idx="0">
                  <c:v>110</c:v>
                </c:pt>
                <c:pt idx="1">
                  <c:v>1450</c:v>
                </c:pt>
                <c:pt idx="2">
                  <c:v>200</c:v>
                </c:pt>
                <c:pt idx="3">
                  <c:v>1296</c:v>
                </c:pt>
                <c:pt idx="4">
                  <c:v>19000</c:v>
                </c:pt>
                <c:pt idx="5">
                  <c:v>1100</c:v>
                </c:pt>
                <c:pt idx="6">
                  <c:v>9805</c:v>
                </c:pt>
                <c:pt idx="7">
                  <c:v>8455</c:v>
                </c:pt>
                <c:pt idx="8">
                  <c:v>20</c:v>
                </c:pt>
                <c:pt idx="9">
                  <c:v>198</c:v>
                </c:pt>
                <c:pt idx="10">
                  <c:v>1330</c:v>
                </c:pt>
                <c:pt idx="11">
                  <c:v>21340</c:v>
                </c:pt>
                <c:pt idx="12">
                  <c:v>2070</c:v>
                </c:pt>
                <c:pt idx="13">
                  <c:v>3000</c:v>
                </c:pt>
                <c:pt idx="14">
                  <c:v>23100</c:v>
                </c:pt>
                <c:pt idx="15">
                  <c:v>9805</c:v>
                </c:pt>
                <c:pt idx="16">
                  <c:v>190</c:v>
                </c:pt>
                <c:pt idx="17">
                  <c:v>1850</c:v>
                </c:pt>
                <c:pt idx="18">
                  <c:v>380</c:v>
                </c:pt>
                <c:pt idx="19">
                  <c:v>480</c:v>
                </c:pt>
                <c:pt idx="20">
                  <c:v>7524</c:v>
                </c:pt>
                <c:pt idx="21">
                  <c:v>1330</c:v>
                </c:pt>
                <c:pt idx="22">
                  <c:v>4850</c:v>
                </c:pt>
                <c:pt idx="23">
                  <c:v>1242</c:v>
                </c:pt>
                <c:pt idx="24">
                  <c:v>3000</c:v>
                </c:pt>
                <c:pt idx="25">
                  <c:v>23100</c:v>
                </c:pt>
                <c:pt idx="26">
                  <c:v>9805</c:v>
                </c:pt>
                <c:pt idx="27">
                  <c:v>190</c:v>
                </c:pt>
                <c:pt idx="28">
                  <c:v>550</c:v>
                </c:pt>
                <c:pt idx="29">
                  <c:v>580</c:v>
                </c:pt>
                <c:pt idx="30">
                  <c:v>1200</c:v>
                </c:pt>
                <c:pt idx="31">
                  <c:v>4104</c:v>
                </c:pt>
                <c:pt idx="32">
                  <c:v>40</c:v>
                </c:pt>
                <c:pt idx="33">
                  <c:v>5247</c:v>
                </c:pt>
                <c:pt idx="34">
                  <c:v>4180</c:v>
                </c:pt>
                <c:pt idx="35">
                  <c:v>440</c:v>
                </c:pt>
                <c:pt idx="36">
                  <c:v>950</c:v>
                </c:pt>
                <c:pt idx="37">
                  <c:v>880</c:v>
                </c:pt>
                <c:pt idx="38">
                  <c:v>2160</c:v>
                </c:pt>
                <c:pt idx="39">
                  <c:v>19000</c:v>
                </c:pt>
                <c:pt idx="40">
                  <c:v>7700</c:v>
                </c:pt>
                <c:pt idx="41">
                  <c:v>17945</c:v>
                </c:pt>
                <c:pt idx="42">
                  <c:v>1242</c:v>
                </c:pt>
                <c:pt idx="43">
                  <c:v>3000</c:v>
                </c:pt>
                <c:pt idx="44">
                  <c:v>23100</c:v>
                </c:pt>
                <c:pt idx="45">
                  <c:v>9805</c:v>
                </c:pt>
                <c:pt idx="46">
                  <c:v>110</c:v>
                </c:pt>
                <c:pt idx="47">
                  <c:v>1450</c:v>
                </c:pt>
                <c:pt idx="48">
                  <c:v>200</c:v>
                </c:pt>
              </c:numCache>
            </c:numRef>
          </c:val>
          <c:smooth val="0"/>
          <c:extLst>
            <c:ext xmlns:c16="http://schemas.microsoft.com/office/drawing/2014/chart" uri="{C3380CC4-5D6E-409C-BE32-E72D297353CC}">
              <c16:uniqueId val="{00000000-4A93-4504-B667-D5C5A79DEC3B}"/>
            </c:ext>
          </c:extLst>
        </c:ser>
        <c:dLbls>
          <c:showLegendKey val="0"/>
          <c:showVal val="0"/>
          <c:showCatName val="0"/>
          <c:showSerName val="0"/>
          <c:showPercent val="0"/>
          <c:showBubbleSize val="0"/>
        </c:dLbls>
        <c:marker val="1"/>
        <c:smooth val="0"/>
        <c:axId val="252509487"/>
        <c:axId val="252506127"/>
      </c:lineChart>
      <c:catAx>
        <c:axId val="25250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06127"/>
        <c:crosses val="autoZero"/>
        <c:auto val="1"/>
        <c:lblAlgn val="ctr"/>
        <c:lblOffset val="100"/>
        <c:noMultiLvlLbl val="0"/>
      </c:catAx>
      <c:valAx>
        <c:axId val="2525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'Stats Summary'!$B$51</c:f>
              <c:strCache>
                <c:ptCount val="1"/>
                <c:pt idx="0">
                  <c:v>Frequency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EC-454C-8661-DD2F47D019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EC-454C-8661-DD2F47D019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EC-454C-8661-DD2F47D019EA}"/>
              </c:ext>
            </c:extLst>
          </c:dPt>
          <c:cat>
            <c:strRef>
              <c:f>'Stats Summary'!$A$52:$A$54</c:f>
              <c:strCache>
                <c:ptCount val="3"/>
                <c:pt idx="0">
                  <c:v>Dine-In</c:v>
                </c:pt>
                <c:pt idx="1">
                  <c:v>Takeaway</c:v>
                </c:pt>
                <c:pt idx="2">
                  <c:v>Delivery</c:v>
                </c:pt>
              </c:strCache>
            </c:strRef>
          </c:cat>
          <c:val>
            <c:numRef>
              <c:f>'Stats Summary'!$B$52:$B$54</c:f>
              <c:numCache>
                <c:formatCode>General</c:formatCode>
                <c:ptCount val="3"/>
                <c:pt idx="0">
                  <c:v>14</c:v>
                </c:pt>
                <c:pt idx="1">
                  <c:v>15</c:v>
                </c:pt>
                <c:pt idx="2">
                  <c:v>20</c:v>
                </c:pt>
              </c:numCache>
            </c:numRef>
          </c:val>
          <c:extLst>
            <c:ext xmlns:c16="http://schemas.microsoft.com/office/drawing/2014/chart" uri="{C3380CC4-5D6E-409C-BE32-E72D297353CC}">
              <c16:uniqueId val="{00000006-A5EC-454C-8661-DD2F47D019E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'Stats Summary'!$B$15</c:f>
              <c:strCache>
                <c:ptCount val="1"/>
                <c:pt idx="0">
                  <c:v>Number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'Stats Summary'!$A$16:$A$19</c:f>
              <c:strCache>
                <c:ptCount val="4"/>
                <c:pt idx="0">
                  <c:v>Morning</c:v>
                </c:pt>
                <c:pt idx="1">
                  <c:v>Afternoon</c:v>
                </c:pt>
                <c:pt idx="2">
                  <c:v>Evening</c:v>
                </c:pt>
                <c:pt idx="3">
                  <c:v>Night</c:v>
                </c:pt>
              </c:strCache>
            </c:strRef>
          </c:cat>
          <c:val>
            <c:numRef>
              <c:f>'Stats Summary'!$B$16:$B$19</c:f>
              <c:numCache>
                <c:formatCode>General</c:formatCode>
                <c:ptCount val="4"/>
                <c:pt idx="0">
                  <c:v>13</c:v>
                </c:pt>
                <c:pt idx="1">
                  <c:v>8</c:v>
                </c:pt>
                <c:pt idx="2">
                  <c:v>15</c:v>
                </c:pt>
                <c:pt idx="3">
                  <c:v>13</c:v>
                </c:pt>
              </c:numCache>
            </c:numRef>
          </c:val>
          <c:extLst>
            <c:ext xmlns:c16="http://schemas.microsoft.com/office/drawing/2014/chart" uri="{C3380CC4-5D6E-409C-BE32-E72D297353CC}">
              <c16:uniqueId val="{00000000-F527-423A-B473-E32156C2A244}"/>
            </c:ext>
          </c:extLst>
        </c:ser>
        <c:dLbls>
          <c:dLblPos val="inEnd"/>
          <c:showLegendKey val="0"/>
          <c:showVal val="1"/>
          <c:showCatName val="0"/>
          <c:showSerName val="0"/>
          <c:showPercent val="0"/>
          <c:showBubbleSize val="0"/>
        </c:dLbls>
        <c:gapWidth val="267"/>
        <c:overlap val="-43"/>
        <c:axId val="1296393951"/>
        <c:axId val="1296397311"/>
      </c:barChart>
      <c:catAx>
        <c:axId val="1296393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96397311"/>
        <c:crosses val="autoZero"/>
        <c:auto val="1"/>
        <c:lblAlgn val="ctr"/>
        <c:lblOffset val="100"/>
        <c:noMultiLvlLbl val="0"/>
      </c:catAx>
      <c:valAx>
        <c:axId val="12963973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96393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Final</a:t>
            </a:r>
            <a:r>
              <a:rPr lang="en-IN" b="1" baseline="0"/>
              <a:t> Bill Trend Across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 Data-Cafe Orders'!$A$1</c:f>
              <c:strCache>
                <c:ptCount val="1"/>
                <c:pt idx="0">
                  <c:v>Order ID</c:v>
                </c:pt>
              </c:strCache>
            </c:strRef>
          </c:tx>
          <c:spPr>
            <a:ln w="28575" cap="rnd">
              <a:solidFill>
                <a:schemeClr val="accent1"/>
              </a:solidFill>
              <a:round/>
            </a:ln>
            <a:effectLst/>
          </c:spPr>
          <c:marker>
            <c:symbol val="none"/>
          </c:marker>
          <c:val>
            <c:numRef>
              <c:f>'Raw Data-Cafe Orders'!$A$2:$A$50</c:f>
              <c:numCache>
                <c:formatCode>000</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val>
          <c:smooth val="0"/>
          <c:extLst>
            <c:ext xmlns:c16="http://schemas.microsoft.com/office/drawing/2014/chart" uri="{C3380CC4-5D6E-409C-BE32-E72D297353CC}">
              <c16:uniqueId val="{00000000-ECA2-486C-97E4-7A61CE7F6CD6}"/>
            </c:ext>
          </c:extLst>
        </c:ser>
        <c:ser>
          <c:idx val="1"/>
          <c:order val="1"/>
          <c:tx>
            <c:strRef>
              <c:f>'Raw Data-Cafe Orders'!$Q$2</c:f>
              <c:strCache>
                <c:ptCount val="1"/>
                <c:pt idx="0">
                  <c:v>No</c:v>
                </c:pt>
              </c:strCache>
            </c:strRef>
          </c:tx>
          <c:spPr>
            <a:ln w="28575" cap="rnd">
              <a:solidFill>
                <a:schemeClr val="accent2"/>
              </a:solidFill>
              <a:round/>
            </a:ln>
            <a:effectLst/>
          </c:spPr>
          <c:marker>
            <c:symbol val="none"/>
          </c:marker>
          <c:val>
            <c:numRef>
              <c:f>'Raw Data-Cafe Orders'!$Q$3:$Q$50</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extLst>
            <c:ext xmlns:c16="http://schemas.microsoft.com/office/drawing/2014/chart" uri="{C3380CC4-5D6E-409C-BE32-E72D297353CC}">
              <c16:uniqueId val="{00000001-ECA2-486C-97E4-7A61CE7F6CD6}"/>
            </c:ext>
          </c:extLst>
        </c:ser>
        <c:dLbls>
          <c:showLegendKey val="0"/>
          <c:showVal val="0"/>
          <c:showCatName val="0"/>
          <c:showSerName val="0"/>
          <c:showPercent val="0"/>
          <c:showBubbleSize val="0"/>
        </c:dLbls>
        <c:smooth val="0"/>
        <c:axId val="1377282191"/>
        <c:axId val="1377294191"/>
      </c:lineChart>
      <c:catAx>
        <c:axId val="13772821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94191"/>
        <c:crosses val="autoZero"/>
        <c:auto val="1"/>
        <c:lblAlgn val="ctr"/>
        <c:lblOffset val="100"/>
        <c:noMultiLvlLbl val="0"/>
      </c:catAx>
      <c:valAx>
        <c:axId val="1377294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Age v/s Final Bill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36800457574355"/>
          <c:y val="0.21215315550944611"/>
          <c:w val="0.87778055329102711"/>
          <c:h val="0.69652235723876199"/>
        </c:manualLayout>
      </c:layout>
      <c:scatterChart>
        <c:scatterStyle val="lineMarker"/>
        <c:varyColors val="0"/>
        <c:ser>
          <c:idx val="0"/>
          <c:order val="0"/>
          <c:tx>
            <c:strRef>
              <c:f>'Raw Data-Cafe Orders'!$O$1</c:f>
              <c:strCache>
                <c:ptCount val="1"/>
                <c:pt idx="0">
                  <c:v>Final Bill</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 Data-Cafe Orders'!$I$2:$I$50</c:f>
              <c:numCache>
                <c:formatCode>General</c:formatCode>
                <c:ptCount val="49"/>
                <c:pt idx="0">
                  <c:v>18</c:v>
                </c:pt>
                <c:pt idx="1">
                  <c:v>23</c:v>
                </c:pt>
                <c:pt idx="2">
                  <c:v>45</c:v>
                </c:pt>
                <c:pt idx="3">
                  <c:v>19</c:v>
                </c:pt>
                <c:pt idx="4">
                  <c:v>23</c:v>
                </c:pt>
                <c:pt idx="5">
                  <c:v>25</c:v>
                </c:pt>
                <c:pt idx="6">
                  <c:v>27</c:v>
                </c:pt>
                <c:pt idx="7">
                  <c:v>28</c:v>
                </c:pt>
                <c:pt idx="8">
                  <c:v>30</c:v>
                </c:pt>
                <c:pt idx="9">
                  <c:v>35</c:v>
                </c:pt>
                <c:pt idx="10">
                  <c:v>37</c:v>
                </c:pt>
                <c:pt idx="11">
                  <c:v>36</c:v>
                </c:pt>
                <c:pt idx="12">
                  <c:v>41</c:v>
                </c:pt>
                <c:pt idx="13">
                  <c:v>18</c:v>
                </c:pt>
                <c:pt idx="14">
                  <c:v>18</c:v>
                </c:pt>
                <c:pt idx="15">
                  <c:v>19</c:v>
                </c:pt>
                <c:pt idx="16">
                  <c:v>20</c:v>
                </c:pt>
                <c:pt idx="17">
                  <c:v>21</c:v>
                </c:pt>
                <c:pt idx="18">
                  <c:v>22</c:v>
                </c:pt>
                <c:pt idx="19">
                  <c:v>18</c:v>
                </c:pt>
                <c:pt idx="20">
                  <c:v>23</c:v>
                </c:pt>
                <c:pt idx="21">
                  <c:v>45</c:v>
                </c:pt>
                <c:pt idx="22">
                  <c:v>19</c:v>
                </c:pt>
                <c:pt idx="23">
                  <c:v>23</c:v>
                </c:pt>
                <c:pt idx="24">
                  <c:v>25</c:v>
                </c:pt>
                <c:pt idx="25">
                  <c:v>27</c:v>
                </c:pt>
                <c:pt idx="26">
                  <c:v>28</c:v>
                </c:pt>
                <c:pt idx="27">
                  <c:v>30</c:v>
                </c:pt>
                <c:pt idx="28">
                  <c:v>35</c:v>
                </c:pt>
                <c:pt idx="29">
                  <c:v>37</c:v>
                </c:pt>
                <c:pt idx="30">
                  <c:v>36</c:v>
                </c:pt>
                <c:pt idx="31">
                  <c:v>41</c:v>
                </c:pt>
                <c:pt idx="32">
                  <c:v>18</c:v>
                </c:pt>
                <c:pt idx="33">
                  <c:v>18</c:v>
                </c:pt>
                <c:pt idx="34">
                  <c:v>19</c:v>
                </c:pt>
                <c:pt idx="35">
                  <c:v>20</c:v>
                </c:pt>
                <c:pt idx="36">
                  <c:v>21</c:v>
                </c:pt>
                <c:pt idx="37">
                  <c:v>22</c:v>
                </c:pt>
                <c:pt idx="38">
                  <c:v>18</c:v>
                </c:pt>
                <c:pt idx="39">
                  <c:v>23</c:v>
                </c:pt>
                <c:pt idx="40">
                  <c:v>45</c:v>
                </c:pt>
                <c:pt idx="41">
                  <c:v>19</c:v>
                </c:pt>
                <c:pt idx="42">
                  <c:v>23</c:v>
                </c:pt>
                <c:pt idx="43">
                  <c:v>25</c:v>
                </c:pt>
                <c:pt idx="44">
                  <c:v>27</c:v>
                </c:pt>
                <c:pt idx="45">
                  <c:v>28</c:v>
                </c:pt>
                <c:pt idx="46">
                  <c:v>30</c:v>
                </c:pt>
                <c:pt idx="47">
                  <c:v>35</c:v>
                </c:pt>
                <c:pt idx="48">
                  <c:v>37</c:v>
                </c:pt>
              </c:numCache>
            </c:numRef>
          </c:xVal>
          <c:yVal>
            <c:numRef>
              <c:f>'Raw Data-Cafe Orders'!$O$2:$O$50</c:f>
              <c:numCache>
                <c:formatCode>_("₹"* #,##0.00_);_("₹"* \(#,##0.00\);_("₹"* "-"??_);_(@_)</c:formatCode>
                <c:ptCount val="49"/>
                <c:pt idx="0">
                  <c:v>110</c:v>
                </c:pt>
                <c:pt idx="1">
                  <c:v>1450</c:v>
                </c:pt>
                <c:pt idx="2">
                  <c:v>200</c:v>
                </c:pt>
                <c:pt idx="3">
                  <c:v>1296</c:v>
                </c:pt>
                <c:pt idx="4">
                  <c:v>19000</c:v>
                </c:pt>
                <c:pt idx="5">
                  <c:v>1100</c:v>
                </c:pt>
                <c:pt idx="6">
                  <c:v>9805</c:v>
                </c:pt>
                <c:pt idx="7">
                  <c:v>8455</c:v>
                </c:pt>
                <c:pt idx="8">
                  <c:v>20</c:v>
                </c:pt>
                <c:pt idx="9">
                  <c:v>198</c:v>
                </c:pt>
                <c:pt idx="10">
                  <c:v>1330</c:v>
                </c:pt>
                <c:pt idx="11">
                  <c:v>21340</c:v>
                </c:pt>
                <c:pt idx="12">
                  <c:v>2070</c:v>
                </c:pt>
                <c:pt idx="13">
                  <c:v>3000</c:v>
                </c:pt>
                <c:pt idx="14">
                  <c:v>23100</c:v>
                </c:pt>
                <c:pt idx="15">
                  <c:v>9805</c:v>
                </c:pt>
                <c:pt idx="16">
                  <c:v>190</c:v>
                </c:pt>
                <c:pt idx="17">
                  <c:v>1850</c:v>
                </c:pt>
                <c:pt idx="18">
                  <c:v>380</c:v>
                </c:pt>
                <c:pt idx="19">
                  <c:v>480</c:v>
                </c:pt>
                <c:pt idx="20">
                  <c:v>7524</c:v>
                </c:pt>
                <c:pt idx="21">
                  <c:v>1330</c:v>
                </c:pt>
                <c:pt idx="22">
                  <c:v>4850</c:v>
                </c:pt>
                <c:pt idx="23">
                  <c:v>1242</c:v>
                </c:pt>
                <c:pt idx="24">
                  <c:v>3000</c:v>
                </c:pt>
                <c:pt idx="25">
                  <c:v>23100</c:v>
                </c:pt>
                <c:pt idx="26">
                  <c:v>9805</c:v>
                </c:pt>
                <c:pt idx="27">
                  <c:v>190</c:v>
                </c:pt>
                <c:pt idx="28">
                  <c:v>550</c:v>
                </c:pt>
                <c:pt idx="29">
                  <c:v>580</c:v>
                </c:pt>
                <c:pt idx="30">
                  <c:v>1200</c:v>
                </c:pt>
                <c:pt idx="31">
                  <c:v>4104</c:v>
                </c:pt>
                <c:pt idx="32">
                  <c:v>40</c:v>
                </c:pt>
                <c:pt idx="33">
                  <c:v>5247</c:v>
                </c:pt>
                <c:pt idx="34">
                  <c:v>4180</c:v>
                </c:pt>
                <c:pt idx="35">
                  <c:v>440</c:v>
                </c:pt>
                <c:pt idx="36">
                  <c:v>950</c:v>
                </c:pt>
                <c:pt idx="37">
                  <c:v>880</c:v>
                </c:pt>
                <c:pt idx="38">
                  <c:v>2160</c:v>
                </c:pt>
                <c:pt idx="39">
                  <c:v>19000</c:v>
                </c:pt>
                <c:pt idx="40">
                  <c:v>7700</c:v>
                </c:pt>
                <c:pt idx="41">
                  <c:v>17945</c:v>
                </c:pt>
                <c:pt idx="42">
                  <c:v>1242</c:v>
                </c:pt>
                <c:pt idx="43">
                  <c:v>3000</c:v>
                </c:pt>
                <c:pt idx="44">
                  <c:v>23100</c:v>
                </c:pt>
                <c:pt idx="45">
                  <c:v>9805</c:v>
                </c:pt>
                <c:pt idx="46">
                  <c:v>110</c:v>
                </c:pt>
                <c:pt idx="47">
                  <c:v>1450</c:v>
                </c:pt>
                <c:pt idx="48">
                  <c:v>200</c:v>
                </c:pt>
              </c:numCache>
            </c:numRef>
          </c:yVal>
          <c:smooth val="0"/>
          <c:extLst>
            <c:ext xmlns:c16="http://schemas.microsoft.com/office/drawing/2014/chart" uri="{C3380CC4-5D6E-409C-BE32-E72D297353CC}">
              <c16:uniqueId val="{00000001-927B-4523-9466-5E1E54643F8B}"/>
            </c:ext>
          </c:extLst>
        </c:ser>
        <c:dLbls>
          <c:showLegendKey val="0"/>
          <c:showVal val="0"/>
          <c:showCatName val="0"/>
          <c:showSerName val="0"/>
          <c:showPercent val="0"/>
          <c:showBubbleSize val="0"/>
        </c:dLbls>
        <c:axId val="1377293711"/>
        <c:axId val="1377281711"/>
      </c:scatterChart>
      <c:valAx>
        <c:axId val="1377293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1711"/>
        <c:crosses val="autoZero"/>
        <c:crossBetween val="midCat"/>
      </c:valAx>
      <c:valAx>
        <c:axId val="13772817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93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11906</xdr:colOff>
      <xdr:row>0</xdr:row>
      <xdr:rowOff>0</xdr:rowOff>
    </xdr:from>
    <xdr:to>
      <xdr:col>10</xdr:col>
      <xdr:colOff>11904</xdr:colOff>
      <xdr:row>3</xdr:row>
      <xdr:rowOff>74082</xdr:rowOff>
    </xdr:to>
    <mc:AlternateContent xmlns:mc="http://schemas.openxmlformats.org/markup-compatibility/2006" xmlns:a14="http://schemas.microsoft.com/office/drawing/2010/main">
      <mc:Choice Requires="a14">
        <xdr:graphicFrame macro="">
          <xdr:nvGraphicFramePr>
            <xdr:cNvPr id="11" name="Time of Order">
              <a:extLst>
                <a:ext uri="{FF2B5EF4-FFF2-40B4-BE49-F238E27FC236}">
                  <a16:creationId xmlns:a16="http://schemas.microsoft.com/office/drawing/2014/main" id="{6AAD1AD9-CCF2-4935-9463-1C67C86AC559}"/>
                </a:ext>
              </a:extLst>
            </xdr:cNvPr>
            <xdr:cNvGraphicFramePr/>
          </xdr:nvGraphicFramePr>
          <xdr:xfrm>
            <a:off x="0" y="0"/>
            <a:ext cx="0" cy="0"/>
          </xdr:xfrm>
          <a:graphic>
            <a:graphicData uri="http://schemas.microsoft.com/office/drawing/2010/slicer">
              <sle:slicer xmlns:sle="http://schemas.microsoft.com/office/drawing/2010/slicer" name="Time of Order"/>
            </a:graphicData>
          </a:graphic>
        </xdr:graphicFrame>
      </mc:Choice>
      <mc:Fallback xmlns="">
        <xdr:sp macro="" textlink="">
          <xdr:nvSpPr>
            <xdr:cNvPr id="0" name=""/>
            <xdr:cNvSpPr>
              <a:spLocks noTextEdit="1"/>
            </xdr:cNvSpPr>
          </xdr:nvSpPr>
          <xdr:spPr>
            <a:xfrm>
              <a:off x="11906" y="0"/>
              <a:ext cx="6138331" cy="645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10584</xdr:colOff>
      <xdr:row>0</xdr:row>
      <xdr:rowOff>1</xdr:rowOff>
    </xdr:from>
    <xdr:to>
      <xdr:col>21</xdr:col>
      <xdr:colOff>10584</xdr:colOff>
      <xdr:row>3</xdr:row>
      <xdr:rowOff>74083</xdr:rowOff>
    </xdr:to>
    <mc:AlternateContent xmlns:mc="http://schemas.openxmlformats.org/markup-compatibility/2006" xmlns:a14="http://schemas.microsoft.com/office/drawing/2010/main">
      <mc:Choice Requires="a14">
        <xdr:graphicFrame macro="">
          <xdr:nvGraphicFramePr>
            <xdr:cNvPr id="12" name="Order Type">
              <a:extLst>
                <a:ext uri="{FF2B5EF4-FFF2-40B4-BE49-F238E27FC236}">
                  <a16:creationId xmlns:a16="http://schemas.microsoft.com/office/drawing/2014/main" id="{8951443F-8A33-4579-9483-74ECCA394216}"/>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148917" y="1"/>
              <a:ext cx="6752167" cy="645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10583</xdr:colOff>
      <xdr:row>3</xdr:row>
      <xdr:rowOff>63500</xdr:rowOff>
    </xdr:from>
    <xdr:to>
      <xdr:col>10</xdr:col>
      <xdr:colOff>10583</xdr:colOff>
      <xdr:row>16</xdr:row>
      <xdr:rowOff>63500</xdr:rowOff>
    </xdr:to>
    <xdr:graphicFrame macro="">
      <xdr:nvGraphicFramePr>
        <xdr:cNvPr id="13" name="Chart 12">
          <a:extLst>
            <a:ext uri="{FF2B5EF4-FFF2-40B4-BE49-F238E27FC236}">
              <a16:creationId xmlns:a16="http://schemas.microsoft.com/office/drawing/2014/main" id="{1CB80329-2F7C-4D8A-AF3C-C22DBF40A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xdr:colOff>
      <xdr:row>3</xdr:row>
      <xdr:rowOff>63499</xdr:rowOff>
    </xdr:from>
    <xdr:to>
      <xdr:col>20</xdr:col>
      <xdr:colOff>598714</xdr:colOff>
      <xdr:row>16</xdr:row>
      <xdr:rowOff>74082</xdr:rowOff>
    </xdr:to>
    <xdr:graphicFrame macro="">
      <xdr:nvGraphicFramePr>
        <xdr:cNvPr id="14" name="Chart 13">
          <a:extLst>
            <a:ext uri="{FF2B5EF4-FFF2-40B4-BE49-F238E27FC236}">
              <a16:creationId xmlns:a16="http://schemas.microsoft.com/office/drawing/2014/main" id="{4D3B3AEC-7730-4985-A494-36DDD9D69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59531</xdr:rowOff>
    </xdr:from>
    <xdr:to>
      <xdr:col>21</xdr:col>
      <xdr:colOff>0</xdr:colOff>
      <xdr:row>30</xdr:row>
      <xdr:rowOff>135731</xdr:rowOff>
    </xdr:to>
    <xdr:graphicFrame macro="">
      <xdr:nvGraphicFramePr>
        <xdr:cNvPr id="6" name="Chart 5">
          <a:extLst>
            <a:ext uri="{FF2B5EF4-FFF2-40B4-BE49-F238E27FC236}">
              <a16:creationId xmlns:a16="http://schemas.microsoft.com/office/drawing/2014/main" id="{8D3748B3-54E5-4CA2-8C1A-8F758C92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272143</xdr:colOff>
      <xdr:row>5</xdr:row>
      <xdr:rowOff>81643</xdr:rowOff>
    </xdr:from>
    <xdr:to>
      <xdr:col>29</xdr:col>
      <xdr:colOff>0</xdr:colOff>
      <xdr:row>12</xdr:row>
      <xdr:rowOff>176893</xdr:rowOff>
    </xdr:to>
    <xdr:sp macro="" textlink="">
      <xdr:nvSpPr>
        <xdr:cNvPr id="7" name="TextBox 6">
          <a:extLst>
            <a:ext uri="{FF2B5EF4-FFF2-40B4-BE49-F238E27FC236}">
              <a16:creationId xmlns:a16="http://schemas.microsoft.com/office/drawing/2014/main" id="{405A8A9A-C47E-F8AF-26BC-9ACD63F0291D}"/>
            </a:ext>
          </a:extLst>
        </xdr:cNvPr>
        <xdr:cNvSpPr txBox="1"/>
      </xdr:nvSpPr>
      <xdr:spPr>
        <a:xfrm>
          <a:off x="13130893" y="1034143"/>
          <a:ext cx="4626428" cy="142875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a:effectLst/>
          </a:endParaRPr>
        </a:p>
        <a:p>
          <a:r>
            <a:rPr lang="en-IN" sz="1800" b="1" i="1">
              <a:solidFill>
                <a:schemeClr val="bg1"/>
              </a:solidFill>
              <a:latin typeface="Segoe UI" panose="020B0502040204020203" pitchFamily="34" charset="0"/>
              <a:cs typeface="Segoe UI" panose="020B0502040204020203" pitchFamily="34" charset="0"/>
            </a:rPr>
            <a:t>Dine-In</a:t>
          </a:r>
          <a:r>
            <a:rPr lang="en-IN" sz="1800" i="1" baseline="0">
              <a:solidFill>
                <a:schemeClr val="bg1"/>
              </a:solidFill>
              <a:latin typeface="Segoe UI" panose="020B0502040204020203" pitchFamily="34" charset="0"/>
              <a:cs typeface="Segoe UI" panose="020B0502040204020203" pitchFamily="34" charset="0"/>
            </a:rPr>
            <a:t> Orders generated the highest revenue </a:t>
          </a:r>
          <a:r>
            <a:rPr lang="en-IN" sz="1800" b="1" i="1" baseline="0">
              <a:solidFill>
                <a:schemeClr val="bg1"/>
              </a:solidFill>
              <a:latin typeface="Segoe UI" panose="020B0502040204020203" pitchFamily="34" charset="0"/>
              <a:cs typeface="Segoe UI" panose="020B0502040204020203" pitchFamily="34" charset="0"/>
            </a:rPr>
            <a:t>(Rs. 87,826)</a:t>
          </a:r>
          <a:endParaRPr lang="en-IN" sz="1800" b="1" i="1">
            <a:solidFill>
              <a:schemeClr val="bg1"/>
            </a:solidFill>
            <a:latin typeface="Segoe UI" panose="020B0502040204020203" pitchFamily="34" charset="0"/>
            <a:cs typeface="Segoe UI" panose="020B0502040204020203" pitchFamily="34" charset="0"/>
          </a:endParaRPr>
        </a:p>
        <a:p>
          <a:endParaRPr lang="en-IN" sz="1100"/>
        </a:p>
        <a:p>
          <a:endParaRPr lang="en-IN" sz="1100"/>
        </a:p>
        <a:p>
          <a:endParaRPr lang="en-IN" sz="1100"/>
        </a:p>
      </xdr:txBody>
    </xdr:sp>
    <xdr:clientData/>
  </xdr:twoCellAnchor>
  <xdr:twoCellAnchor>
    <xdr:from>
      <xdr:col>21</xdr:col>
      <xdr:colOff>272143</xdr:colOff>
      <xdr:row>13</xdr:row>
      <xdr:rowOff>149678</xdr:rowOff>
    </xdr:from>
    <xdr:to>
      <xdr:col>29</xdr:col>
      <xdr:colOff>13608</xdr:colOff>
      <xdr:row>21</xdr:row>
      <xdr:rowOff>108857</xdr:rowOff>
    </xdr:to>
    <xdr:sp macro="" textlink="">
      <xdr:nvSpPr>
        <xdr:cNvPr id="16" name="TextBox 15">
          <a:extLst>
            <a:ext uri="{FF2B5EF4-FFF2-40B4-BE49-F238E27FC236}">
              <a16:creationId xmlns:a16="http://schemas.microsoft.com/office/drawing/2014/main" id="{32618B23-D242-B9BA-6AA5-32E174B726E4}"/>
            </a:ext>
          </a:extLst>
        </xdr:cNvPr>
        <xdr:cNvSpPr txBox="1"/>
      </xdr:nvSpPr>
      <xdr:spPr>
        <a:xfrm>
          <a:off x="13130893" y="2626178"/>
          <a:ext cx="4640036" cy="148317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b="1" i="1">
              <a:solidFill>
                <a:schemeClr val="bg1"/>
              </a:solidFill>
              <a:latin typeface="Segoe UI" panose="020B0502040204020203" pitchFamily="34" charset="0"/>
              <a:cs typeface="Segoe UI" panose="020B0502040204020203" pitchFamily="34" charset="0"/>
            </a:rPr>
            <a:t>Evening</a:t>
          </a:r>
          <a:r>
            <a:rPr lang="en-IN" sz="1800" i="1">
              <a:solidFill>
                <a:schemeClr val="bg1"/>
              </a:solidFill>
              <a:latin typeface="Segoe UI" panose="020B0502040204020203" pitchFamily="34" charset="0"/>
              <a:cs typeface="Segoe UI" panose="020B0502040204020203" pitchFamily="34" charset="0"/>
            </a:rPr>
            <a:t> time had the highest number of orders </a:t>
          </a:r>
          <a:r>
            <a:rPr lang="en-IN" sz="1800" b="1" i="1">
              <a:solidFill>
                <a:schemeClr val="bg1"/>
              </a:solidFill>
              <a:latin typeface="Segoe UI" panose="020B0502040204020203" pitchFamily="34" charset="0"/>
              <a:cs typeface="Segoe UI" panose="020B0502040204020203" pitchFamily="34" charset="0"/>
            </a:rPr>
            <a:t>(15</a:t>
          </a:r>
          <a:r>
            <a:rPr lang="en-IN" sz="1800" b="1" i="1" baseline="0">
              <a:solidFill>
                <a:schemeClr val="bg1"/>
              </a:solidFill>
              <a:latin typeface="Segoe UI" panose="020B0502040204020203" pitchFamily="34" charset="0"/>
              <a:cs typeface="Segoe UI" panose="020B0502040204020203" pitchFamily="34" charset="0"/>
            </a:rPr>
            <a:t> Orders)</a:t>
          </a:r>
          <a:endParaRPr lang="en-IN" sz="1200" b="1" i="1">
            <a:solidFill>
              <a:schemeClr val="bg1"/>
            </a:solidFill>
            <a:latin typeface="Segoe UI" panose="020B0502040204020203" pitchFamily="34" charset="0"/>
            <a:cs typeface="Segoe UI" panose="020B0502040204020203" pitchFamily="34" charset="0"/>
          </a:endParaRPr>
        </a:p>
      </xdr:txBody>
    </xdr:sp>
    <xdr:clientData/>
  </xdr:twoCellAnchor>
  <xdr:twoCellAnchor>
    <xdr:from>
      <xdr:col>21</xdr:col>
      <xdr:colOff>258536</xdr:colOff>
      <xdr:row>22</xdr:row>
      <xdr:rowOff>81643</xdr:rowOff>
    </xdr:from>
    <xdr:to>
      <xdr:col>29</xdr:col>
      <xdr:colOff>13608</xdr:colOff>
      <xdr:row>30</xdr:row>
      <xdr:rowOff>122465</xdr:rowOff>
    </xdr:to>
    <xdr:sp macro="" textlink="">
      <xdr:nvSpPr>
        <xdr:cNvPr id="17" name="TextBox 16">
          <a:extLst>
            <a:ext uri="{FF2B5EF4-FFF2-40B4-BE49-F238E27FC236}">
              <a16:creationId xmlns:a16="http://schemas.microsoft.com/office/drawing/2014/main" id="{8F577F09-46F4-0340-892D-C8194B6278CC}"/>
            </a:ext>
          </a:extLst>
        </xdr:cNvPr>
        <xdr:cNvSpPr txBox="1"/>
      </xdr:nvSpPr>
      <xdr:spPr>
        <a:xfrm>
          <a:off x="13117286" y="4272643"/>
          <a:ext cx="4653643" cy="156482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i="1">
              <a:solidFill>
                <a:schemeClr val="bg1"/>
              </a:solidFill>
              <a:latin typeface="Segoe UI" panose="020B0502040204020203" pitchFamily="34" charset="0"/>
              <a:cs typeface="Segoe UI" panose="020B0502040204020203" pitchFamily="34" charset="0"/>
            </a:rPr>
            <a:t>Customer </a:t>
          </a:r>
          <a:r>
            <a:rPr lang="en-IN" sz="1800" b="1" i="1">
              <a:solidFill>
                <a:schemeClr val="bg1"/>
              </a:solidFill>
              <a:latin typeface="Segoe UI" panose="020B0502040204020203" pitchFamily="34" charset="0"/>
              <a:cs typeface="Segoe UI" panose="020B0502040204020203" pitchFamily="34" charset="0"/>
            </a:rPr>
            <a:t>age</a:t>
          </a:r>
          <a:r>
            <a:rPr lang="en-IN" sz="1800" i="1">
              <a:solidFill>
                <a:schemeClr val="bg1"/>
              </a:solidFill>
              <a:latin typeface="Segoe UI" panose="020B0502040204020203" pitchFamily="34" charset="0"/>
              <a:cs typeface="Segoe UI" panose="020B0502040204020203" pitchFamily="34" charset="0"/>
            </a:rPr>
            <a:t> has minimal impact</a:t>
          </a:r>
          <a:r>
            <a:rPr lang="en-IN" sz="1800" i="1" baseline="0">
              <a:solidFill>
                <a:schemeClr val="bg1"/>
              </a:solidFill>
              <a:latin typeface="Segoe UI" panose="020B0502040204020203" pitchFamily="34" charset="0"/>
              <a:cs typeface="Segoe UI" panose="020B0502040204020203" pitchFamily="34" charset="0"/>
            </a:rPr>
            <a:t> on final bill </a:t>
          </a:r>
          <a:r>
            <a:rPr lang="en-IN" sz="1800" b="1" i="1" baseline="0">
              <a:solidFill>
                <a:schemeClr val="bg1"/>
              </a:solidFill>
              <a:latin typeface="Segoe UI" panose="020B0502040204020203" pitchFamily="34" charset="0"/>
              <a:cs typeface="Segoe UI" panose="020B0502040204020203" pitchFamily="34" charset="0"/>
            </a:rPr>
            <a:t>(R</a:t>
          </a:r>
          <a:r>
            <a:rPr lang="en-IN" sz="1800" b="1" i="1" baseline="30000">
              <a:solidFill>
                <a:schemeClr val="bg1"/>
              </a:solidFill>
              <a:latin typeface="Segoe UI" panose="020B0502040204020203" pitchFamily="34" charset="0"/>
              <a:cs typeface="Segoe UI" panose="020B0502040204020203" pitchFamily="34" charset="0"/>
            </a:rPr>
            <a:t>2</a:t>
          </a:r>
          <a:r>
            <a:rPr lang="en-IN" sz="1800" b="1" i="1" baseline="0">
              <a:solidFill>
                <a:schemeClr val="bg1"/>
              </a:solidFill>
              <a:latin typeface="Segoe UI" panose="020B0502040204020203" pitchFamily="34" charset="0"/>
              <a:cs typeface="Segoe UI" panose="020B0502040204020203" pitchFamily="34" charset="0"/>
            </a:rPr>
            <a:t> = 0.012)</a:t>
          </a:r>
          <a:endParaRPr lang="en-IN" sz="1800" b="1" i="1">
            <a:solidFill>
              <a:schemeClr val="bg1"/>
            </a:solidFill>
            <a:latin typeface="Segoe UI" panose="020B0502040204020203" pitchFamily="34" charset="0"/>
            <a:cs typeface="Segoe UI" panose="020B0502040204020203" pitchFamily="34" charset="0"/>
          </a:endParaRPr>
        </a:p>
      </xdr:txBody>
    </xdr:sp>
    <xdr:clientData/>
  </xdr:twoCellAnchor>
  <xdr:twoCellAnchor>
    <xdr:from>
      <xdr:col>21</xdr:col>
      <xdr:colOff>244928</xdr:colOff>
      <xdr:row>1</xdr:row>
      <xdr:rowOff>54429</xdr:rowOff>
    </xdr:from>
    <xdr:to>
      <xdr:col>29</xdr:col>
      <xdr:colOff>27214</xdr:colOff>
      <xdr:row>3</xdr:row>
      <xdr:rowOff>176893</xdr:rowOff>
    </xdr:to>
    <xdr:sp macro="" textlink="">
      <xdr:nvSpPr>
        <xdr:cNvPr id="18" name="TextBox 17">
          <a:extLst>
            <a:ext uri="{FF2B5EF4-FFF2-40B4-BE49-F238E27FC236}">
              <a16:creationId xmlns:a16="http://schemas.microsoft.com/office/drawing/2014/main" id="{029E857F-6FC3-8B54-7274-CCA53C35D9A4}"/>
            </a:ext>
          </a:extLst>
        </xdr:cNvPr>
        <xdr:cNvSpPr txBox="1"/>
      </xdr:nvSpPr>
      <xdr:spPr>
        <a:xfrm>
          <a:off x="13103678" y="244929"/>
          <a:ext cx="4680857" cy="503464"/>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1">
              <a:solidFill>
                <a:schemeClr val="bg1"/>
              </a:solidFill>
            </a:rPr>
            <a:t>KEY INSIGHTS</a:t>
          </a:r>
          <a:endParaRPr lang="en-IN" sz="1100" b="1" i="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326584</xdr:colOff>
      <xdr:row>14</xdr:row>
      <xdr:rowOff>44450</xdr:rowOff>
    </xdr:to>
    <xdr:graphicFrame macro="">
      <xdr:nvGraphicFramePr>
        <xdr:cNvPr id="2" name="Chart 1">
          <a:extLst>
            <a:ext uri="{FF2B5EF4-FFF2-40B4-BE49-F238E27FC236}">
              <a16:creationId xmlns:a16="http://schemas.microsoft.com/office/drawing/2014/main" id="{02F07FB4-5AED-463B-A0CD-5965838A5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344093</xdr:colOff>
      <xdr:row>0</xdr:row>
      <xdr:rowOff>4903</xdr:rowOff>
    </xdr:from>
    <xdr:to>
      <xdr:col>24</xdr:col>
      <xdr:colOff>277860</xdr:colOff>
      <xdr:row>14</xdr:row>
      <xdr:rowOff>49353</xdr:rowOff>
    </xdr:to>
    <xdr:graphicFrame macro="">
      <xdr:nvGraphicFramePr>
        <xdr:cNvPr id="3" name="Chart 2">
          <a:extLst>
            <a:ext uri="{FF2B5EF4-FFF2-40B4-BE49-F238E27FC236}">
              <a16:creationId xmlns:a16="http://schemas.microsoft.com/office/drawing/2014/main" id="{8A9C3AEA-4246-4B75-B458-E2C369262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71698</xdr:rowOff>
    </xdr:from>
    <xdr:to>
      <xdr:col>11</xdr:col>
      <xdr:colOff>326584</xdr:colOff>
      <xdr:row>27</xdr:row>
      <xdr:rowOff>92631</xdr:rowOff>
    </xdr:to>
    <xdr:graphicFrame macro="">
      <xdr:nvGraphicFramePr>
        <xdr:cNvPr id="4" name="Chart 3">
          <a:extLst>
            <a:ext uri="{FF2B5EF4-FFF2-40B4-BE49-F238E27FC236}">
              <a16:creationId xmlns:a16="http://schemas.microsoft.com/office/drawing/2014/main" id="{2A2CA6B7-C612-49BE-92D7-32043EC6B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374695</xdr:colOff>
      <xdr:row>14</xdr:row>
      <xdr:rowOff>106669</xdr:rowOff>
    </xdr:from>
    <xdr:to>
      <xdr:col>25</xdr:col>
      <xdr:colOff>308461</xdr:colOff>
      <xdr:row>27</xdr:row>
      <xdr:rowOff>118430</xdr:rowOff>
    </xdr:to>
    <xdr:graphicFrame macro="">
      <xdr:nvGraphicFramePr>
        <xdr:cNvPr id="5" name="Chart 4">
          <a:extLst>
            <a:ext uri="{FF2B5EF4-FFF2-40B4-BE49-F238E27FC236}">
              <a16:creationId xmlns:a16="http://schemas.microsoft.com/office/drawing/2014/main" id="{B9683652-4D0A-4532-A9B4-B9E6DBCF6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U" refreshedDate="45843.525441203703" createdVersion="8" refreshedVersion="8" minRefreshableVersion="3" recordCount="49" xr:uid="{38BA1BC2-2E14-4204-904B-BA2022D69731}">
  <cacheSource type="worksheet">
    <worksheetSource name="CafeOrders"/>
  </cacheSource>
  <cacheFields count="17">
    <cacheField name="Order ID" numFmtId="164">
      <sharedItems containsSemiMixedTypes="0" containsString="0" containsNumber="1" containsInteger="1" minValue="1" maxValue="49" count="4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sharedItems>
    </cacheField>
    <cacheField name="Date" numFmtId="14">
      <sharedItems containsSemiMixedTypes="0" containsNonDate="0" containsDate="1" containsString="0" minDate="2025-07-01T00:00:00" maxDate="2025-08-19T00:00:00"/>
    </cacheField>
    <cacheField name="Item Name" numFmtId="0">
      <sharedItems/>
    </cacheField>
    <cacheField name="Category" numFmtId="0">
      <sharedItems/>
    </cacheField>
    <cacheField name="Quantity" numFmtId="0">
      <sharedItems containsSemiMixedTypes="0" containsString="0" containsNumber="1" containsInteger="1" minValue="1" maxValue="97"/>
    </cacheField>
    <cacheField name="Unit Price" numFmtId="44">
      <sharedItems containsSemiMixedTypes="0" containsString="0" containsNumber="1" containsInteger="1" minValue="20" maxValue="550"/>
    </cacheField>
    <cacheField name="Discount(%)" numFmtId="0">
      <sharedItems containsSemiMixedTypes="0" containsString="0" containsNumber="1" containsInteger="1" minValue="0" maxValue="15"/>
    </cacheField>
    <cacheField name="Payment Mode" numFmtId="0">
      <sharedItems/>
    </cacheField>
    <cacheField name="Customer Age" numFmtId="0">
      <sharedItems containsSemiMixedTypes="0" containsString="0" containsNumber="1" containsInteger="1" minValue="18" maxValue="45"/>
    </cacheField>
    <cacheField name="Time of Order" numFmtId="0">
      <sharedItems count="4">
        <s v="Morning"/>
        <s v="Afternoon"/>
        <s v="Evening"/>
        <s v="Night"/>
      </sharedItems>
    </cacheField>
    <cacheField name="Order Type" numFmtId="0">
      <sharedItems count="3">
        <s v="Dine-In"/>
        <s v="Take-Away"/>
        <s v="Delivery"/>
      </sharedItems>
    </cacheField>
    <cacheField name="Feedback Rating" numFmtId="0">
      <sharedItems containsSemiMixedTypes="0" containsString="0" containsNumber="1" containsInteger="1" minValue="1" maxValue="5"/>
    </cacheField>
    <cacheField name="Total Price" numFmtId="44">
      <sharedItems containsSemiMixedTypes="0" containsString="0" containsNumber="1" containsInteger="1" minValue="20" maxValue="23100"/>
    </cacheField>
    <cacheField name="Discounted Amount" numFmtId="44">
      <sharedItems containsSemiMixedTypes="0" containsString="0" containsNumber="1" minValue="0" maxValue="2691.75"/>
    </cacheField>
    <cacheField name="Final Bill" numFmtId="44">
      <sharedItems containsSemiMixedTypes="0" containsString="0" containsNumber="1" containsInteger="1" minValue="20" maxValue="23100"/>
    </cacheField>
    <cacheField name="Z Score" numFmtId="2">
      <sharedItems containsSemiMixedTypes="0" containsString="0" containsNumber="1" minValue="-0.75024420830101157" maxValue="2.5241319761819563"/>
    </cacheField>
    <cacheField name="Outlier" numFmtId="0">
      <sharedItems/>
    </cacheField>
  </cacheFields>
  <extLst>
    <ext xmlns:x14="http://schemas.microsoft.com/office/spreadsheetml/2009/9/main" uri="{725AE2AE-9491-48be-B2B4-4EB974FC3084}">
      <x14:pivotCacheDefinition pivotCacheId="1680518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d v="2025-07-01T00:00:00"/>
    <s v="Sandwich"/>
    <s v="Savory"/>
    <n v="2"/>
    <n v="55"/>
    <n v="0"/>
    <s v="UPI"/>
    <n v="18"/>
    <x v="0"/>
    <x v="0"/>
    <n v="5"/>
    <n v="110"/>
    <n v="0"/>
    <n v="110"/>
    <n v="-0.73747584363015084"/>
    <s v="No"/>
  </r>
  <r>
    <x v="1"/>
    <d v="2025-07-02T00:00:00"/>
    <s v="Burger"/>
    <s v="Savory"/>
    <n v="10"/>
    <n v="145"/>
    <n v="5"/>
    <s v="CASH"/>
    <n v="23"/>
    <x v="1"/>
    <x v="1"/>
    <n v="5"/>
    <n v="1450"/>
    <n v="72.5"/>
    <n v="1450"/>
    <n v="-0.54736908075289015"/>
    <s v="No"/>
  </r>
  <r>
    <x v="2"/>
    <d v="2025-07-03T00:00:00"/>
    <s v="Pasta"/>
    <s v="Savory"/>
    <n v="4"/>
    <n v="50"/>
    <n v="0"/>
    <s v="CASH"/>
    <n v="45"/>
    <x v="2"/>
    <x v="2"/>
    <n v="2"/>
    <n v="200"/>
    <n v="0"/>
    <n v="200"/>
    <n v="-0.72470747895929"/>
    <s v="No"/>
  </r>
  <r>
    <x v="3"/>
    <d v="2025-07-04T00:00:00"/>
    <s v="Muffin"/>
    <s v="Bakery"/>
    <n v="24"/>
    <n v="54"/>
    <n v="5"/>
    <s v="CARD"/>
    <n v="19"/>
    <x v="3"/>
    <x v="1"/>
    <n v="4"/>
    <n v="1296"/>
    <n v="64.8"/>
    <n v="1296"/>
    <n v="-0.56921717141191863"/>
    <s v="No"/>
  </r>
  <r>
    <x v="4"/>
    <d v="2025-07-05T00:00:00"/>
    <s v="Pizza"/>
    <s v="Savory"/>
    <n v="76"/>
    <n v="250"/>
    <n v="10"/>
    <s v="UPI"/>
    <n v="23"/>
    <x v="2"/>
    <x v="2"/>
    <n v="3"/>
    <n v="19000"/>
    <n v="1900"/>
    <n v="19000"/>
    <n v="1.9424620300649647"/>
    <s v="No"/>
  </r>
  <r>
    <x v="5"/>
    <d v="2025-07-06T00:00:00"/>
    <s v="Cake"/>
    <s v="Bakery"/>
    <n v="2"/>
    <n v="550"/>
    <n v="15"/>
    <s v="UPI"/>
    <n v="25"/>
    <x v="3"/>
    <x v="0"/>
    <n v="4"/>
    <n v="1100"/>
    <n v="165"/>
    <n v="1100"/>
    <n v="-0.59702383225068212"/>
    <s v="No"/>
  </r>
  <r>
    <x v="6"/>
    <d v="2025-07-07T00:00:00"/>
    <s v="Cold coffee"/>
    <s v="Beverage"/>
    <n v="53"/>
    <n v="185"/>
    <n v="0"/>
    <s v="UPI"/>
    <n v="27"/>
    <x v="0"/>
    <x v="0"/>
    <n v="5"/>
    <n v="9805"/>
    <n v="0"/>
    <n v="9805"/>
    <n v="0.63796077285868691"/>
    <s v="No"/>
  </r>
  <r>
    <x v="7"/>
    <d v="2025-07-08T00:00:00"/>
    <s v="Hot coffee"/>
    <s v="Beverage"/>
    <n v="89"/>
    <n v="95"/>
    <n v="0"/>
    <s v="CASH"/>
    <n v="28"/>
    <x v="1"/>
    <x v="1"/>
    <n v="2"/>
    <n v="8455"/>
    <n v="0"/>
    <n v="8455"/>
    <n v="0.44643530279577498"/>
    <s v="No"/>
  </r>
  <r>
    <x v="8"/>
    <d v="2025-07-09T00:00:00"/>
    <s v="Tea "/>
    <s v="Beverage"/>
    <n v="1"/>
    <n v="20"/>
    <n v="5"/>
    <s v="CASH"/>
    <n v="30"/>
    <x v="2"/>
    <x v="2"/>
    <n v="1"/>
    <n v="20"/>
    <n v="1"/>
    <n v="20"/>
    <n v="-0.75024420830101157"/>
    <s v="No"/>
  </r>
  <r>
    <x v="9"/>
    <d v="2025-07-10T00:00:00"/>
    <s v="Lemonade "/>
    <s v="Beverage"/>
    <n v="2"/>
    <n v="99"/>
    <n v="0"/>
    <s v="CARD"/>
    <n v="35"/>
    <x v="2"/>
    <x v="2"/>
    <n v="4"/>
    <n v="198"/>
    <n v="0"/>
    <n v="198"/>
    <n v="-0.72499122039642028"/>
    <s v="No"/>
  </r>
  <r>
    <x v="10"/>
    <d v="2025-07-11T00:00:00"/>
    <s v="Smoothie"/>
    <s v="Beverage"/>
    <n v="14"/>
    <n v="95"/>
    <n v="5"/>
    <s v="UPI"/>
    <n v="37"/>
    <x v="3"/>
    <x v="0"/>
    <n v="1"/>
    <n v="1330"/>
    <n v="66.5"/>
    <n v="1330"/>
    <n v="-0.56439356698070453"/>
    <s v="No"/>
  </r>
  <r>
    <x v="11"/>
    <d v="2025-07-12T00:00:00"/>
    <s v="Hot Chocolate"/>
    <s v="Beverage"/>
    <n v="97"/>
    <n v="220"/>
    <n v="10"/>
    <s v="UPI"/>
    <n v="36"/>
    <x v="0"/>
    <x v="1"/>
    <n v="4"/>
    <n v="21340"/>
    <n v="2134"/>
    <n v="21340"/>
    <n v="2.2744395115073455"/>
    <s v="Yes"/>
  </r>
  <r>
    <x v="12"/>
    <d v="2025-07-13T00:00:00"/>
    <s v="Chocolate Shake"/>
    <s v="Beverage"/>
    <n v="23"/>
    <n v="90"/>
    <n v="15"/>
    <s v="UPI"/>
    <n v="41"/>
    <x v="0"/>
    <x v="2"/>
    <n v="1"/>
    <n v="2070"/>
    <n v="310.5"/>
    <n v="2070"/>
    <n v="-0.45940923524251576"/>
    <s v="No"/>
  </r>
  <r>
    <x v="13"/>
    <d v="2025-07-14T00:00:00"/>
    <s v="Pizza"/>
    <s v="Savory"/>
    <n v="12"/>
    <n v="250"/>
    <n v="0"/>
    <s v="CASH"/>
    <n v="18"/>
    <x v="1"/>
    <x v="2"/>
    <n v="5"/>
    <n v="3000"/>
    <n v="0"/>
    <n v="3000"/>
    <n v="-0.32746946697695423"/>
    <s v="No"/>
  </r>
  <r>
    <x v="14"/>
    <d v="2025-07-15T00:00:00"/>
    <s v="Cake"/>
    <s v="Bakery"/>
    <n v="42"/>
    <n v="550"/>
    <n v="10"/>
    <s v="CASH"/>
    <n v="18"/>
    <x v="2"/>
    <x v="0"/>
    <n v="5"/>
    <n v="23100"/>
    <n v="2310"/>
    <n v="23100"/>
    <n v="2.5241319761819563"/>
    <s v="Yes"/>
  </r>
  <r>
    <x v="15"/>
    <d v="2025-07-16T00:00:00"/>
    <s v="Cold coffee"/>
    <s v="Beverage"/>
    <n v="53"/>
    <n v="185"/>
    <n v="15"/>
    <s v="CARD"/>
    <n v="19"/>
    <x v="3"/>
    <x v="1"/>
    <n v="3"/>
    <n v="9805"/>
    <n v="1470.75"/>
    <n v="9805"/>
    <n v="0.63796077285868691"/>
    <s v="No"/>
  </r>
  <r>
    <x v="16"/>
    <d v="2025-07-17T00:00:00"/>
    <s v="Hot coffee"/>
    <s v="Beverage"/>
    <n v="2"/>
    <n v="95"/>
    <n v="0"/>
    <s v="UPI"/>
    <n v="20"/>
    <x v="2"/>
    <x v="2"/>
    <n v="4"/>
    <n v="190"/>
    <n v="0"/>
    <n v="190"/>
    <n v="-0.72612618614494118"/>
    <s v="No"/>
  </r>
  <r>
    <x v="17"/>
    <d v="2025-07-18T00:00:00"/>
    <s v="Cold coffee"/>
    <s v="Beverage"/>
    <n v="10"/>
    <n v="185"/>
    <n v="0"/>
    <s v="UPI"/>
    <n v="21"/>
    <x v="3"/>
    <x v="1"/>
    <n v="5"/>
    <n v="1850"/>
    <n v="0"/>
    <n v="1850"/>
    <n v="-0.49062079332684216"/>
    <s v="No"/>
  </r>
  <r>
    <x v="18"/>
    <d v="2025-07-19T00:00:00"/>
    <s v="Hot coffee"/>
    <s v="Beverage"/>
    <n v="4"/>
    <n v="95"/>
    <n v="5"/>
    <s v="UPI"/>
    <n v="22"/>
    <x v="0"/>
    <x v="2"/>
    <n v="2"/>
    <n v="380"/>
    <n v="19"/>
    <n v="380"/>
    <n v="-0.69917074961756842"/>
    <s v="No"/>
  </r>
  <r>
    <x v="19"/>
    <d v="2025-07-20T00:00:00"/>
    <s v="Tea "/>
    <s v="Beverage"/>
    <n v="24"/>
    <n v="20"/>
    <n v="0"/>
    <s v="CASH"/>
    <n v="18"/>
    <x v="1"/>
    <x v="2"/>
    <n v="1"/>
    <n v="480"/>
    <n v="0"/>
    <n v="480"/>
    <n v="-0.6849836777610564"/>
    <s v="No"/>
  </r>
  <r>
    <x v="20"/>
    <d v="2025-07-21T00:00:00"/>
    <s v="Lemonade "/>
    <s v="Beverage"/>
    <n v="76"/>
    <n v="99"/>
    <n v="5"/>
    <s v="CASH"/>
    <n v="23"/>
    <x v="2"/>
    <x v="0"/>
    <n v="4"/>
    <n v="7524"/>
    <n v="376.2"/>
    <n v="7524"/>
    <n v="0.31435366381164831"/>
    <s v="No"/>
  </r>
  <r>
    <x v="21"/>
    <d v="2025-07-22T00:00:00"/>
    <s v="Smoothie"/>
    <s v="Beverage"/>
    <n v="14"/>
    <n v="95"/>
    <n v="0"/>
    <s v="CARD"/>
    <n v="45"/>
    <x v="2"/>
    <x v="1"/>
    <n v="1"/>
    <n v="1330"/>
    <n v="0"/>
    <n v="1330"/>
    <n v="-0.56439356698070453"/>
    <s v="No"/>
  </r>
  <r>
    <x v="22"/>
    <d v="2025-07-23T00:00:00"/>
    <s v="Pasta"/>
    <s v="Savory"/>
    <n v="97"/>
    <n v="50"/>
    <n v="0"/>
    <s v="UPI"/>
    <n v="19"/>
    <x v="3"/>
    <x v="2"/>
    <n v="4"/>
    <n v="4850"/>
    <n v="0"/>
    <n v="4850"/>
    <n v="-6.5008637631482361E-2"/>
    <s v="No"/>
  </r>
  <r>
    <x v="23"/>
    <d v="2025-07-24T00:00:00"/>
    <s v="Muffin"/>
    <s v="Bakery"/>
    <n v="23"/>
    <n v="54"/>
    <n v="5"/>
    <s v="UPI"/>
    <n v="23"/>
    <x v="0"/>
    <x v="1"/>
    <n v="1"/>
    <n v="1242"/>
    <n v="62.1"/>
    <n v="1242"/>
    <n v="-0.57687819021443509"/>
    <s v="No"/>
  </r>
  <r>
    <x v="24"/>
    <d v="2025-07-25T00:00:00"/>
    <s v="Pizza"/>
    <s v="Savory"/>
    <n v="12"/>
    <n v="250"/>
    <n v="0"/>
    <s v="UPI"/>
    <n v="25"/>
    <x v="0"/>
    <x v="2"/>
    <n v="5"/>
    <n v="3000"/>
    <n v="0"/>
    <n v="3000"/>
    <n v="-0.32746946697695423"/>
    <s v="No"/>
  </r>
  <r>
    <x v="25"/>
    <d v="2025-07-26T00:00:00"/>
    <s v="Cake"/>
    <s v="Bakery"/>
    <n v="42"/>
    <n v="550"/>
    <n v="5"/>
    <s v="CASH"/>
    <n v="27"/>
    <x v="1"/>
    <x v="0"/>
    <n v="5"/>
    <n v="23100"/>
    <n v="1155"/>
    <n v="23100"/>
    <n v="2.5241319761819563"/>
    <s v="Yes"/>
  </r>
  <r>
    <x v="26"/>
    <d v="2025-07-27T00:00:00"/>
    <s v="Cold coffee"/>
    <s v="Beverage"/>
    <n v="53"/>
    <n v="185"/>
    <n v="0"/>
    <s v="CASH"/>
    <n v="28"/>
    <x v="2"/>
    <x v="0"/>
    <n v="4"/>
    <n v="9805"/>
    <n v="0"/>
    <n v="9805"/>
    <n v="0.63796077285868691"/>
    <s v="No"/>
  </r>
  <r>
    <x v="27"/>
    <d v="2025-07-28T00:00:00"/>
    <s v="Hot coffee"/>
    <s v="Beverage"/>
    <n v="2"/>
    <n v="95"/>
    <n v="5"/>
    <s v="CARD"/>
    <n v="30"/>
    <x v="3"/>
    <x v="1"/>
    <n v="3"/>
    <n v="190"/>
    <n v="9.5"/>
    <n v="190"/>
    <n v="-0.72612618614494118"/>
    <s v="No"/>
  </r>
  <r>
    <x v="28"/>
    <d v="2025-07-29T00:00:00"/>
    <s v="Sandwich"/>
    <s v="Savory"/>
    <n v="10"/>
    <n v="55"/>
    <n v="0"/>
    <s v="UPI"/>
    <n v="35"/>
    <x v="0"/>
    <x v="2"/>
    <n v="4"/>
    <n v="550"/>
    <n v="0"/>
    <n v="550"/>
    <n v="-0.67505272746149803"/>
    <s v="No"/>
  </r>
  <r>
    <x v="29"/>
    <d v="2025-07-30T00:00:00"/>
    <s v="Burger"/>
    <s v="Savory"/>
    <n v="4"/>
    <n v="145"/>
    <n v="5"/>
    <s v="UPI"/>
    <n v="37"/>
    <x v="0"/>
    <x v="2"/>
    <n v="5"/>
    <n v="580"/>
    <n v="29"/>
    <n v="580"/>
    <n v="-0.67079660590454449"/>
    <s v="No"/>
  </r>
  <r>
    <x v="30"/>
    <d v="2025-07-31T00:00:00"/>
    <s v="Pasta"/>
    <s v="Savory"/>
    <n v="24"/>
    <n v="50"/>
    <n v="10"/>
    <s v="UPI"/>
    <n v="36"/>
    <x v="1"/>
    <x v="0"/>
    <n v="2"/>
    <n v="1200"/>
    <n v="120"/>
    <n v="1200"/>
    <n v="-0.58283676039417009"/>
    <s v="No"/>
  </r>
  <r>
    <x v="31"/>
    <d v="2025-08-01T00:00:00"/>
    <s v="Muffin"/>
    <s v="Bakery"/>
    <n v="76"/>
    <n v="54"/>
    <n v="15"/>
    <s v="CASH"/>
    <n v="41"/>
    <x v="2"/>
    <x v="1"/>
    <n v="1"/>
    <n v="4104"/>
    <n v="615.6"/>
    <n v="4104"/>
    <n v="-0.17084419368106182"/>
    <s v="No"/>
  </r>
  <r>
    <x v="32"/>
    <d v="2025-08-02T00:00:00"/>
    <s v="Tea "/>
    <s v="Beverage"/>
    <n v="2"/>
    <n v="20"/>
    <n v="0"/>
    <s v="CASH"/>
    <n v="18"/>
    <x v="3"/>
    <x v="2"/>
    <n v="4"/>
    <n v="40"/>
    <n v="0"/>
    <n v="40"/>
    <n v="-0.74740679392970921"/>
    <s v="No"/>
  </r>
  <r>
    <x v="33"/>
    <d v="2025-08-03T00:00:00"/>
    <s v="Lemonade "/>
    <s v="Beverage"/>
    <n v="53"/>
    <n v="99"/>
    <n v="0"/>
    <s v="CARD"/>
    <n v="18"/>
    <x v="2"/>
    <x v="2"/>
    <n v="1"/>
    <n v="5247"/>
    <n v="0"/>
    <n v="5247"/>
    <n v="-8.6859623611297513E-3"/>
    <s v="No"/>
  </r>
  <r>
    <x v="34"/>
    <d v="2025-08-04T00:00:00"/>
    <s v="Smoothie"/>
    <s v="Beverage"/>
    <n v="44"/>
    <n v="95"/>
    <n v="5"/>
    <s v="UPI"/>
    <n v="19"/>
    <x v="3"/>
    <x v="0"/>
    <n v="4"/>
    <n v="4180"/>
    <n v="209"/>
    <n v="4180"/>
    <n v="-0.16006201907011272"/>
    <s v="No"/>
  </r>
  <r>
    <x v="35"/>
    <d v="2025-08-05T00:00:00"/>
    <s v="Hot Chocolate"/>
    <s v="Beverage"/>
    <n v="2"/>
    <n v="220"/>
    <n v="0"/>
    <s v="UPI"/>
    <n v="20"/>
    <x v="0"/>
    <x v="1"/>
    <n v="1"/>
    <n v="440"/>
    <n v="0"/>
    <n v="440"/>
    <n v="-0.69065850650366123"/>
    <s v="No"/>
  </r>
  <r>
    <x v="36"/>
    <d v="2025-08-06T00:00:00"/>
    <s v="Smoothie"/>
    <s v="Beverage"/>
    <n v="10"/>
    <n v="95"/>
    <n v="5"/>
    <s v="UPI"/>
    <n v="21"/>
    <x v="1"/>
    <x v="2"/>
    <n v="5"/>
    <n v="950"/>
    <n v="47.5"/>
    <n v="950"/>
    <n v="-0.61830444003545004"/>
    <s v="No"/>
  </r>
  <r>
    <x v="37"/>
    <d v="2025-08-07T00:00:00"/>
    <s v="Hot Chocolate"/>
    <s v="Beverage"/>
    <n v="4"/>
    <n v="220"/>
    <n v="10"/>
    <s v="CASH"/>
    <n v="22"/>
    <x v="2"/>
    <x v="0"/>
    <n v="5"/>
    <n v="880"/>
    <n v="88"/>
    <n v="880"/>
    <n v="-0.62823539033500853"/>
    <s v="No"/>
  </r>
  <r>
    <x v="38"/>
    <d v="2025-08-08T00:00:00"/>
    <s v="Chocolate Shake"/>
    <s v="Beverage"/>
    <n v="24"/>
    <n v="90"/>
    <n v="15"/>
    <s v="CASH"/>
    <n v="18"/>
    <x v="2"/>
    <x v="1"/>
    <n v="3"/>
    <n v="2160"/>
    <n v="324"/>
    <n v="2160"/>
    <n v="-0.44664087057165497"/>
    <s v="No"/>
  </r>
  <r>
    <x v="39"/>
    <d v="2025-08-09T00:00:00"/>
    <s v="Pizza"/>
    <s v="Savory"/>
    <n v="76"/>
    <n v="250"/>
    <n v="0"/>
    <s v="CARD"/>
    <n v="23"/>
    <x v="3"/>
    <x v="2"/>
    <n v="4"/>
    <n v="19000"/>
    <n v="0"/>
    <n v="19000"/>
    <n v="1.9424620300649647"/>
    <s v="No"/>
  </r>
  <r>
    <x v="40"/>
    <d v="2025-08-10T00:00:00"/>
    <s v="Cake"/>
    <s v="Bakery"/>
    <n v="14"/>
    <n v="550"/>
    <n v="10"/>
    <s v="UPI"/>
    <n v="45"/>
    <x v="0"/>
    <x v="1"/>
    <n v="5"/>
    <n v="7700"/>
    <n v="770"/>
    <n v="7700"/>
    <n v="0.33932291027910944"/>
    <s v="No"/>
  </r>
  <r>
    <x v="41"/>
    <d v="2025-08-11T00:00:00"/>
    <s v="Cold coffee"/>
    <s v="Beverage"/>
    <n v="97"/>
    <n v="185"/>
    <n v="15"/>
    <s v="UPI"/>
    <n v="19"/>
    <x v="2"/>
    <x v="2"/>
    <n v="2"/>
    <n v="17945"/>
    <n v="2691.75"/>
    <n v="17945"/>
    <n v="1.7927884219787633"/>
    <s v="No"/>
  </r>
  <r>
    <x v="42"/>
    <d v="2025-08-12T00:00:00"/>
    <s v="Muffin"/>
    <s v="Bakery"/>
    <n v="23"/>
    <n v="54"/>
    <n v="0"/>
    <s v="UPI"/>
    <n v="23"/>
    <x v="3"/>
    <x v="0"/>
    <n v="1"/>
    <n v="1242"/>
    <n v="0"/>
    <n v="1242"/>
    <n v="-0.57687819021443509"/>
    <s v="No"/>
  </r>
  <r>
    <x v="43"/>
    <d v="2025-08-13T00:00:00"/>
    <s v="Pizza"/>
    <s v="Savory"/>
    <n v="12"/>
    <n v="250"/>
    <n v="0"/>
    <s v="CASH"/>
    <n v="25"/>
    <x v="0"/>
    <x v="0"/>
    <n v="4"/>
    <n v="3000"/>
    <n v="0"/>
    <n v="3000"/>
    <n v="-0.32746946697695423"/>
    <s v="No"/>
  </r>
  <r>
    <x v="44"/>
    <d v="2025-08-14T00:00:00"/>
    <s v="Cake"/>
    <s v="Bakery"/>
    <n v="42"/>
    <n v="550"/>
    <n v="5"/>
    <s v="CASH"/>
    <n v="27"/>
    <x v="3"/>
    <x v="1"/>
    <n v="1"/>
    <n v="23100"/>
    <n v="1155"/>
    <n v="23100"/>
    <n v="2.5241319761819563"/>
    <s v="Yes"/>
  </r>
  <r>
    <x v="45"/>
    <d v="2025-08-15T00:00:00"/>
    <s v="Cold coffee"/>
    <s v="Beverage"/>
    <n v="53"/>
    <n v="185"/>
    <n v="0"/>
    <s v="CARD"/>
    <n v="28"/>
    <x v="2"/>
    <x v="2"/>
    <n v="4"/>
    <n v="9805"/>
    <n v="0"/>
    <n v="9805"/>
    <n v="0.63796077285868691"/>
    <s v="No"/>
  </r>
  <r>
    <x v="46"/>
    <d v="2025-08-16T00:00:00"/>
    <s v="Sandwich"/>
    <s v="Savory"/>
    <n v="2"/>
    <n v="55"/>
    <n v="0"/>
    <s v="UPI"/>
    <n v="30"/>
    <x v="3"/>
    <x v="2"/>
    <n v="1"/>
    <n v="110"/>
    <n v="0"/>
    <n v="110"/>
    <n v="-0.73747584363015084"/>
    <s v="No"/>
  </r>
  <r>
    <x v="47"/>
    <d v="2025-08-17T00:00:00"/>
    <s v="Burger"/>
    <s v="Savory"/>
    <n v="10"/>
    <n v="145"/>
    <n v="0"/>
    <s v="UPI"/>
    <n v="35"/>
    <x v="0"/>
    <x v="0"/>
    <n v="5"/>
    <n v="1450"/>
    <n v="0"/>
    <n v="1450"/>
    <n v="-0.54736908075289015"/>
    <s v="No"/>
  </r>
  <r>
    <x v="48"/>
    <d v="2025-08-18T00:00:00"/>
    <s v="Pasta"/>
    <s v="Savory"/>
    <n v="4"/>
    <n v="50"/>
    <n v="0"/>
    <s v="UPI"/>
    <n v="37"/>
    <x v="1"/>
    <x v="1"/>
    <n v="5"/>
    <n v="200"/>
    <n v="0"/>
    <n v="200"/>
    <n v="-0.72470747895929"/>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1C861-58C8-4A19-8F11-04E43428BB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7">
    <pivotField numFmtId="16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umFmtId="14" showAll="0"/>
    <pivotField showAll="0"/>
    <pivotField showAll="0"/>
    <pivotField showAll="0"/>
    <pivotField numFmtId="44" showAll="0"/>
    <pivotField showAll="0"/>
    <pivotField showAll="0"/>
    <pivotField showAll="0"/>
    <pivotField showAll="0">
      <items count="5">
        <item x="1"/>
        <item x="2"/>
        <item x="0"/>
        <item x="3"/>
        <item t="default"/>
      </items>
    </pivotField>
    <pivotField axis="axisRow" showAll="0">
      <items count="4">
        <item x="2"/>
        <item x="0"/>
        <item x="1"/>
        <item t="default"/>
      </items>
    </pivotField>
    <pivotField showAll="0"/>
    <pivotField numFmtId="44" showAll="0"/>
    <pivotField numFmtId="44" showAll="0"/>
    <pivotField dataField="1" numFmtId="44" showAll="0"/>
    <pivotField numFmtId="2" showAll="0"/>
    <pivotField showAll="0"/>
  </pivotFields>
  <rowFields count="1">
    <field x="10"/>
  </rowFields>
  <rowItems count="4">
    <i>
      <x/>
    </i>
    <i>
      <x v="1"/>
    </i>
    <i>
      <x v="2"/>
    </i>
    <i t="grand">
      <x/>
    </i>
  </rowItems>
  <colItems count="1">
    <i/>
  </colItems>
  <dataFields count="1">
    <dataField name="Sum of Final Bill" fld="14" baseField="0" baseItem="0"/>
  </dataField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6C71A-9F19-4608-9F18-AF56497B13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72" firstHeaderRow="1" firstDataRow="1" firstDataCol="1"/>
  <pivotFields count="17">
    <pivotField axis="axisRow" numFmtId="164"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umFmtId="14" showAll="0"/>
    <pivotField showAll="0"/>
    <pivotField showAll="0"/>
    <pivotField showAll="0"/>
    <pivotField numFmtId="44" showAll="0"/>
    <pivotField showAll="0"/>
    <pivotField showAll="0"/>
    <pivotField showAll="0"/>
    <pivotField showAll="0"/>
    <pivotField showAll="0"/>
    <pivotField showAll="0"/>
    <pivotField numFmtId="44" showAll="0"/>
    <pivotField numFmtId="44" showAll="0"/>
    <pivotField dataField="1" numFmtId="44" showAll="0"/>
    <pivotField numFmtId="2"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Final Bill"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5B384-DA89-4401-97A1-BE6E79BA06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17" firstHeaderRow="1" firstDataRow="1" firstDataCol="1"/>
  <pivotFields count="17">
    <pivotField dataField="1" numFmtId="164" showAll="0"/>
    <pivotField numFmtId="14" showAll="0"/>
    <pivotField showAll="0"/>
    <pivotField showAll="0"/>
    <pivotField showAll="0"/>
    <pivotField numFmtId="44" showAll="0"/>
    <pivotField showAll="0"/>
    <pivotField showAll="0"/>
    <pivotField showAll="0"/>
    <pivotField axis="axisRow" showAll="0">
      <items count="5">
        <item x="1"/>
        <item x="2"/>
        <item x="0"/>
        <item x="3"/>
        <item t="default"/>
      </items>
    </pivotField>
    <pivotField showAll="0"/>
    <pivotField showAll="0"/>
    <pivotField numFmtId="44" showAll="0"/>
    <pivotField numFmtId="44" showAll="0"/>
    <pivotField numFmtId="44" showAll="0"/>
    <pivotField numFmtId="2" showAll="0"/>
    <pivotField showAll="0"/>
  </pivotFields>
  <rowFields count="1">
    <field x="9"/>
  </rowFields>
  <rowItems count="5">
    <i>
      <x/>
    </i>
    <i>
      <x v="1"/>
    </i>
    <i>
      <x v="2"/>
    </i>
    <i>
      <x v="3"/>
    </i>
    <i t="grand">
      <x/>
    </i>
  </rowItems>
  <colItems count="1">
    <i/>
  </colItems>
  <dataFields count="1">
    <dataField name="Count of Order ID" fld="0" subtotal="count" baseField="9"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Order" xr10:uid="{3EE2AB21-5C7C-4FCF-94C0-85E01823E2F9}" sourceName="Time of Order">
  <pivotTables>
    <pivotTable tabId="4" name="PivotTable1"/>
  </pivotTables>
  <data>
    <tabular pivotCacheId="1680518455">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675BF62-1067-461B-B0A5-4CDC3CB29AC6}" sourceName="Order Type">
  <pivotTables>
    <pivotTable tabId="4" name="PivotTable1"/>
  </pivotTables>
  <data>
    <tabular pivotCacheId="168051845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Order" xr10:uid="{FBB5089F-925E-41A8-A6CA-62E33F20B4AE}" cache="Slicer_Time_of_Order" caption="Time of Order" startItem="1" style="SlicerStyleLight5" rowHeight="257175"/>
  <slicer name="Order Type" xr10:uid="{076F4EF6-C503-41B5-A505-3E8869FAA6D2}" cache="Slicer_Order_Type" caption="Order Type" startItem="2" style="SlicerStyleLigh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4F2C4-F271-42C2-B183-F53E1B717EFC}" name="CafeOrders" displayName="CafeOrders" ref="A1:Q50" totalsRowShown="0" headerRowDxfId="20" headerRowBorderDxfId="19" tableBorderDxfId="18" totalsRowBorderDxfId="17">
  <tableColumns count="17">
    <tableColumn id="1" xr3:uid="{EA5C7783-6294-47D0-92E4-1AC77B0A0C33}" name="Order ID" dataDxfId="16"/>
    <tableColumn id="2" xr3:uid="{BA79CFE6-2F9C-4D36-85E1-7D5E3AC10C22}" name="Date" dataDxfId="15"/>
    <tableColumn id="3" xr3:uid="{B978E473-2357-483B-93D2-F12D823161D7}" name="Item Name" dataDxfId="14"/>
    <tableColumn id="4" xr3:uid="{619DB18D-89CB-4B4B-B29C-627BA884E458}" name="Category" dataDxfId="13"/>
    <tableColumn id="5" xr3:uid="{7995DAE6-D490-438E-AE2A-D9866E8E6158}" name="Quantity" dataDxfId="12"/>
    <tableColumn id="6" xr3:uid="{E5C3B589-BE96-4D3D-B44C-ED30CC75C952}" name="Unit Price" dataDxfId="11"/>
    <tableColumn id="7" xr3:uid="{6A19E914-F934-46ED-A467-0E35C581B9A3}" name="Discount(%)" dataDxfId="10"/>
    <tableColumn id="8" xr3:uid="{10E18289-D854-45FA-AADB-9DB9BCE9C8EF}" name="Payment Mode" dataDxfId="9"/>
    <tableColumn id="9" xr3:uid="{24E6216E-F3E9-4F78-9FFE-D547BE919593}" name="Customer Age" dataDxfId="8"/>
    <tableColumn id="10" xr3:uid="{B8B8BCCB-0735-4F99-8034-373500A1D218}" name="Time of Order" dataDxfId="7"/>
    <tableColumn id="11" xr3:uid="{5EB0F370-EA1A-41A1-8C22-A4CE59FA5F22}" name="Order Type" dataDxfId="6"/>
    <tableColumn id="12" xr3:uid="{E0B682B2-05A1-42F1-9BA2-F9D2BD022443}" name="Feedback Rating" dataDxfId="5"/>
    <tableColumn id="13" xr3:uid="{3BA9B57A-F980-4A2B-80E6-C98CC78F2D35}" name="Total Price" dataDxfId="4">
      <calculatedColumnFormula>E2*F2</calculatedColumnFormula>
    </tableColumn>
    <tableColumn id="14" xr3:uid="{A97F4B83-11BD-40EA-8BA0-34CA01A96793}" name="Discounted Amount" dataDxfId="3">
      <calculatedColumnFormula>M2*G2/100</calculatedColumnFormula>
    </tableColumn>
    <tableColumn id="15" xr3:uid="{15673666-E25C-4318-AC36-D000F2AAA265}" name="Final Bill" dataDxfId="2">
      <calculatedColumnFormula>M2</calculatedColumnFormula>
    </tableColumn>
    <tableColumn id="16" xr3:uid="{6627E328-480B-4526-A03D-94E9921C20B6}" name="Z-Score" dataDxfId="1">
      <calculatedColumnFormula>(O2-AVERAGE(O$2:O$51))/_xlfn.STDEV.P(O$2:O$51)</calculatedColumnFormula>
    </tableColumn>
    <tableColumn id="17" xr3:uid="{799D9C0A-9E3C-4DC9-8CD5-0A20CA78F5C2}" name="Outliers" dataDxfId="0">
      <calculatedColumnFormula>IF(ABS(P2)&gt;2, "Yes", "No")</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C3A71-E9D1-4A73-80A0-BEE273079FEA}">
  <dimension ref="AE1"/>
  <sheetViews>
    <sheetView showGridLines="0" tabSelected="1" zoomScale="70" zoomScaleNormal="70" workbookViewId="0">
      <selection activeCell="AE1" sqref="AE1"/>
    </sheetView>
  </sheetViews>
  <sheetFormatPr defaultRowHeight="15" x14ac:dyDescent="0.25"/>
  <sheetData>
    <row r="1" spans="31:31" x14ac:dyDescent="0.25">
      <c r="AE1" t="s">
        <v>75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D090-72C1-4C5E-ADE6-E1851D76510B}">
  <dimension ref="A1:Q50"/>
  <sheetViews>
    <sheetView topLeftCell="D1" zoomScaleNormal="100" workbookViewId="0">
      <selection activeCell="Q1" sqref="Q1"/>
    </sheetView>
  </sheetViews>
  <sheetFormatPr defaultRowHeight="15" x14ac:dyDescent="0.25"/>
  <cols>
    <col min="1" max="1" width="10.85546875" style="1" bestFit="1" customWidth="1"/>
    <col min="2" max="2" width="10.42578125" bestFit="1" customWidth="1"/>
    <col min="3" max="3" width="15.7109375" bestFit="1" customWidth="1"/>
    <col min="4" max="4" width="11.42578125" bestFit="1" customWidth="1"/>
    <col min="5" max="5" width="11" bestFit="1" customWidth="1"/>
    <col min="6" max="6" width="12.85546875" style="2" bestFit="1" customWidth="1"/>
    <col min="7" max="7" width="14.42578125" bestFit="1" customWidth="1"/>
    <col min="8" max="8" width="16.7109375" bestFit="1" customWidth="1"/>
    <col min="9" max="9" width="16.140625" bestFit="1" customWidth="1"/>
    <col min="10" max="10" width="15.7109375" bestFit="1" customWidth="1"/>
    <col min="11" max="11" width="13.140625" bestFit="1" customWidth="1"/>
    <col min="12" max="12" width="15.85546875" bestFit="1" customWidth="1"/>
    <col min="13" max="13" width="12.7109375" bestFit="1" customWidth="1"/>
    <col min="14" max="14" width="21.42578125" bestFit="1" customWidth="1"/>
    <col min="15" max="15" width="11.42578125" bestFit="1" customWidth="1"/>
    <col min="16" max="16" width="13.5703125" customWidth="1"/>
  </cols>
  <sheetData>
    <row r="1" spans="1:17" x14ac:dyDescent="0.25">
      <c r="A1" s="3" t="s">
        <v>0</v>
      </c>
      <c r="B1" s="4" t="s">
        <v>1</v>
      </c>
      <c r="C1" s="4" t="s">
        <v>2</v>
      </c>
      <c r="D1" s="4" t="s">
        <v>3</v>
      </c>
      <c r="E1" s="4" t="s">
        <v>4</v>
      </c>
      <c r="F1" s="5" t="s">
        <v>5</v>
      </c>
      <c r="G1" s="4" t="s">
        <v>6</v>
      </c>
      <c r="H1" s="4" t="s">
        <v>7</v>
      </c>
      <c r="I1" s="4" t="s">
        <v>8</v>
      </c>
      <c r="J1" s="4" t="s">
        <v>28</v>
      </c>
      <c r="K1" s="4" t="s">
        <v>29</v>
      </c>
      <c r="L1" s="6" t="s">
        <v>30</v>
      </c>
      <c r="M1" s="4" t="s">
        <v>38</v>
      </c>
      <c r="N1" s="4" t="s">
        <v>39</v>
      </c>
      <c r="O1" s="4" t="s">
        <v>40</v>
      </c>
      <c r="P1" s="4" t="s">
        <v>54</v>
      </c>
      <c r="Q1" s="4" t="s">
        <v>76</v>
      </c>
    </row>
    <row r="2" spans="1:17" x14ac:dyDescent="0.25">
      <c r="A2" s="7">
        <v>1</v>
      </c>
      <c r="B2" s="8">
        <v>45839</v>
      </c>
      <c r="C2" s="9" t="s">
        <v>9</v>
      </c>
      <c r="D2" s="9" t="s">
        <v>22</v>
      </c>
      <c r="E2" s="9">
        <v>2</v>
      </c>
      <c r="F2" s="10">
        <v>55</v>
      </c>
      <c r="G2" s="11">
        <v>0</v>
      </c>
      <c r="H2" s="9" t="s">
        <v>25</v>
      </c>
      <c r="I2" s="9">
        <v>18</v>
      </c>
      <c r="J2" s="9" t="s">
        <v>31</v>
      </c>
      <c r="K2" s="9" t="s">
        <v>35</v>
      </c>
      <c r="L2" s="12">
        <v>5</v>
      </c>
      <c r="M2" s="5">
        <f>E2*F2</f>
        <v>110</v>
      </c>
      <c r="N2" s="10">
        <f t="shared" ref="N2:N33" si="0">M2*G2/100</f>
        <v>0</v>
      </c>
      <c r="O2" s="10">
        <f t="shared" ref="O2:O33" si="1">M2</f>
        <v>110</v>
      </c>
      <c r="P2" s="22">
        <f>(O2-AVERAGE(O$2:O$51))/_xlfn.STDEV.P(O$2:O$51)</f>
        <v>-0.73747584363015084</v>
      </c>
      <c r="Q2" s="9" t="str">
        <f t="shared" ref="Q2:Q33" si="2">IF(ABS(P2)&gt;2, "Yes", "No")</f>
        <v>No</v>
      </c>
    </row>
    <row r="3" spans="1:17" x14ac:dyDescent="0.25">
      <c r="A3" s="7">
        <v>2</v>
      </c>
      <c r="B3" s="8">
        <v>45840</v>
      </c>
      <c r="C3" s="9" t="s">
        <v>10</v>
      </c>
      <c r="D3" s="9" t="s">
        <v>22</v>
      </c>
      <c r="E3" s="9">
        <v>10</v>
      </c>
      <c r="F3" s="10">
        <v>145</v>
      </c>
      <c r="G3" s="11">
        <v>5</v>
      </c>
      <c r="H3" s="9" t="s">
        <v>26</v>
      </c>
      <c r="I3" s="9">
        <v>23</v>
      </c>
      <c r="J3" s="9" t="s">
        <v>32</v>
      </c>
      <c r="K3" s="9" t="s">
        <v>36</v>
      </c>
      <c r="L3" s="12">
        <v>5</v>
      </c>
      <c r="M3" s="10">
        <f t="shared" ref="M3:M33" si="3">E3*F3</f>
        <v>1450</v>
      </c>
      <c r="N3" s="10">
        <f t="shared" si="0"/>
        <v>72.5</v>
      </c>
      <c r="O3" s="10">
        <f t="shared" si="1"/>
        <v>1450</v>
      </c>
      <c r="P3" s="22">
        <f t="shared" ref="P3:P50" si="4">(O3-AVERAGE(O$2:O$51))/_xlfn.STDEV.P(O$2:O$51)</f>
        <v>-0.54736908075289015</v>
      </c>
      <c r="Q3" s="9" t="str">
        <f t="shared" si="2"/>
        <v>No</v>
      </c>
    </row>
    <row r="4" spans="1:17" x14ac:dyDescent="0.25">
      <c r="A4" s="7">
        <v>3</v>
      </c>
      <c r="B4" s="8">
        <v>45841</v>
      </c>
      <c r="C4" s="9" t="s">
        <v>11</v>
      </c>
      <c r="D4" s="9" t="s">
        <v>22</v>
      </c>
      <c r="E4" s="9">
        <v>4</v>
      </c>
      <c r="F4" s="10">
        <v>50</v>
      </c>
      <c r="G4" s="11">
        <v>0</v>
      </c>
      <c r="H4" s="9" t="s">
        <v>26</v>
      </c>
      <c r="I4" s="9">
        <v>45</v>
      </c>
      <c r="J4" s="9" t="s">
        <v>33</v>
      </c>
      <c r="K4" s="9" t="s">
        <v>37</v>
      </c>
      <c r="L4" s="12">
        <v>2</v>
      </c>
      <c r="M4" s="10">
        <f t="shared" si="3"/>
        <v>200</v>
      </c>
      <c r="N4" s="10">
        <f t="shared" si="0"/>
        <v>0</v>
      </c>
      <c r="O4" s="10">
        <f t="shared" si="1"/>
        <v>200</v>
      </c>
      <c r="P4" s="22">
        <f t="shared" si="4"/>
        <v>-0.72470747895929</v>
      </c>
      <c r="Q4" s="9" t="str">
        <f t="shared" si="2"/>
        <v>No</v>
      </c>
    </row>
    <row r="5" spans="1:17" x14ac:dyDescent="0.25">
      <c r="A5" s="7">
        <v>4</v>
      </c>
      <c r="B5" s="8">
        <v>45842</v>
      </c>
      <c r="C5" s="9" t="s">
        <v>12</v>
      </c>
      <c r="D5" s="9" t="s">
        <v>24</v>
      </c>
      <c r="E5" s="9">
        <v>24</v>
      </c>
      <c r="F5" s="10">
        <v>54</v>
      </c>
      <c r="G5" s="11">
        <v>5</v>
      </c>
      <c r="H5" s="9" t="s">
        <v>27</v>
      </c>
      <c r="I5" s="9">
        <v>19</v>
      </c>
      <c r="J5" s="9" t="s">
        <v>34</v>
      </c>
      <c r="K5" s="9" t="s">
        <v>36</v>
      </c>
      <c r="L5" s="12">
        <v>4</v>
      </c>
      <c r="M5" s="10">
        <f t="shared" si="3"/>
        <v>1296</v>
      </c>
      <c r="N5" s="10">
        <f t="shared" si="0"/>
        <v>64.8</v>
      </c>
      <c r="O5" s="10">
        <f t="shared" si="1"/>
        <v>1296</v>
      </c>
      <c r="P5" s="22">
        <f t="shared" si="4"/>
        <v>-0.56921717141191863</v>
      </c>
      <c r="Q5" s="9" t="str">
        <f t="shared" si="2"/>
        <v>No</v>
      </c>
    </row>
    <row r="6" spans="1:17" x14ac:dyDescent="0.25">
      <c r="A6" s="7">
        <v>5</v>
      </c>
      <c r="B6" s="8">
        <v>45843</v>
      </c>
      <c r="C6" s="9" t="s">
        <v>13</v>
      </c>
      <c r="D6" s="9" t="s">
        <v>22</v>
      </c>
      <c r="E6" s="9">
        <v>76</v>
      </c>
      <c r="F6" s="10">
        <v>250</v>
      </c>
      <c r="G6" s="11">
        <v>10</v>
      </c>
      <c r="H6" s="9" t="s">
        <v>25</v>
      </c>
      <c r="I6" s="9">
        <v>23</v>
      </c>
      <c r="J6" s="9" t="s">
        <v>33</v>
      </c>
      <c r="K6" s="9" t="s">
        <v>37</v>
      </c>
      <c r="L6" s="12">
        <v>3</v>
      </c>
      <c r="M6" s="10">
        <f t="shared" si="3"/>
        <v>19000</v>
      </c>
      <c r="N6" s="10">
        <f t="shared" si="0"/>
        <v>1900</v>
      </c>
      <c r="O6" s="10">
        <f t="shared" si="1"/>
        <v>19000</v>
      </c>
      <c r="P6" s="22">
        <f t="shared" si="4"/>
        <v>1.9424620300649647</v>
      </c>
      <c r="Q6" s="9" t="str">
        <f t="shared" si="2"/>
        <v>No</v>
      </c>
    </row>
    <row r="7" spans="1:17" x14ac:dyDescent="0.25">
      <c r="A7" s="7">
        <v>6</v>
      </c>
      <c r="B7" s="8">
        <v>45844</v>
      </c>
      <c r="C7" s="9" t="s">
        <v>14</v>
      </c>
      <c r="D7" s="9" t="s">
        <v>24</v>
      </c>
      <c r="E7" s="9">
        <v>2</v>
      </c>
      <c r="F7" s="10">
        <v>550</v>
      </c>
      <c r="G7" s="11">
        <v>15</v>
      </c>
      <c r="H7" s="9" t="s">
        <v>25</v>
      </c>
      <c r="I7" s="9">
        <v>25</v>
      </c>
      <c r="J7" s="9" t="s">
        <v>34</v>
      </c>
      <c r="K7" s="9" t="s">
        <v>35</v>
      </c>
      <c r="L7" s="12">
        <v>4</v>
      </c>
      <c r="M7" s="10">
        <f t="shared" si="3"/>
        <v>1100</v>
      </c>
      <c r="N7" s="10">
        <f t="shared" si="0"/>
        <v>165</v>
      </c>
      <c r="O7" s="10">
        <f t="shared" si="1"/>
        <v>1100</v>
      </c>
      <c r="P7" s="22">
        <f t="shared" si="4"/>
        <v>-0.59702383225068212</v>
      </c>
      <c r="Q7" s="9" t="str">
        <f t="shared" si="2"/>
        <v>No</v>
      </c>
    </row>
    <row r="8" spans="1:17" x14ac:dyDescent="0.25">
      <c r="A8" s="7">
        <v>7</v>
      </c>
      <c r="B8" s="8">
        <v>45845</v>
      </c>
      <c r="C8" s="9" t="s">
        <v>15</v>
      </c>
      <c r="D8" s="9" t="s">
        <v>23</v>
      </c>
      <c r="E8" s="9">
        <v>53</v>
      </c>
      <c r="F8" s="10">
        <v>185</v>
      </c>
      <c r="G8" s="11">
        <v>0</v>
      </c>
      <c r="H8" s="9" t="s">
        <v>25</v>
      </c>
      <c r="I8" s="9">
        <v>27</v>
      </c>
      <c r="J8" s="9" t="s">
        <v>31</v>
      </c>
      <c r="K8" s="9" t="s">
        <v>35</v>
      </c>
      <c r="L8" s="12">
        <v>5</v>
      </c>
      <c r="M8" s="10">
        <f t="shared" si="3"/>
        <v>9805</v>
      </c>
      <c r="N8" s="10">
        <f t="shared" si="0"/>
        <v>0</v>
      </c>
      <c r="O8" s="10">
        <f t="shared" si="1"/>
        <v>9805</v>
      </c>
      <c r="P8" s="22">
        <f t="shared" si="4"/>
        <v>0.63796077285868691</v>
      </c>
      <c r="Q8" s="9" t="str">
        <f t="shared" si="2"/>
        <v>No</v>
      </c>
    </row>
    <row r="9" spans="1:17" x14ac:dyDescent="0.25">
      <c r="A9" s="7">
        <v>8</v>
      </c>
      <c r="B9" s="8">
        <v>45846</v>
      </c>
      <c r="C9" s="9" t="s">
        <v>16</v>
      </c>
      <c r="D9" s="9" t="s">
        <v>23</v>
      </c>
      <c r="E9" s="9">
        <v>89</v>
      </c>
      <c r="F9" s="10">
        <v>95</v>
      </c>
      <c r="G9" s="11">
        <v>0</v>
      </c>
      <c r="H9" s="9" t="s">
        <v>26</v>
      </c>
      <c r="I9" s="9">
        <v>28</v>
      </c>
      <c r="J9" s="9" t="s">
        <v>32</v>
      </c>
      <c r="K9" s="9" t="s">
        <v>36</v>
      </c>
      <c r="L9" s="12">
        <v>2</v>
      </c>
      <c r="M9" s="10">
        <f t="shared" si="3"/>
        <v>8455</v>
      </c>
      <c r="N9" s="10">
        <f t="shared" si="0"/>
        <v>0</v>
      </c>
      <c r="O9" s="10">
        <f t="shared" si="1"/>
        <v>8455</v>
      </c>
      <c r="P9" s="22">
        <f t="shared" si="4"/>
        <v>0.44643530279577498</v>
      </c>
      <c r="Q9" s="9" t="str">
        <f t="shared" si="2"/>
        <v>No</v>
      </c>
    </row>
    <row r="10" spans="1:17" x14ac:dyDescent="0.25">
      <c r="A10" s="7">
        <v>9</v>
      </c>
      <c r="B10" s="8">
        <v>45847</v>
      </c>
      <c r="C10" s="9" t="s">
        <v>17</v>
      </c>
      <c r="D10" s="9" t="s">
        <v>23</v>
      </c>
      <c r="E10" s="9">
        <v>1</v>
      </c>
      <c r="F10" s="10">
        <v>20</v>
      </c>
      <c r="G10" s="11">
        <v>5</v>
      </c>
      <c r="H10" s="9" t="s">
        <v>26</v>
      </c>
      <c r="I10" s="9">
        <v>30</v>
      </c>
      <c r="J10" s="9" t="s">
        <v>33</v>
      </c>
      <c r="K10" s="9" t="s">
        <v>37</v>
      </c>
      <c r="L10" s="12">
        <v>1</v>
      </c>
      <c r="M10" s="10">
        <f t="shared" si="3"/>
        <v>20</v>
      </c>
      <c r="N10" s="10">
        <f t="shared" si="0"/>
        <v>1</v>
      </c>
      <c r="O10" s="10">
        <f t="shared" si="1"/>
        <v>20</v>
      </c>
      <c r="P10" s="22">
        <f t="shared" si="4"/>
        <v>-0.75024420830101157</v>
      </c>
      <c r="Q10" s="9" t="str">
        <f t="shared" si="2"/>
        <v>No</v>
      </c>
    </row>
    <row r="11" spans="1:17" x14ac:dyDescent="0.25">
      <c r="A11" s="7">
        <v>10</v>
      </c>
      <c r="B11" s="8">
        <v>45848</v>
      </c>
      <c r="C11" s="9" t="s">
        <v>18</v>
      </c>
      <c r="D11" s="9" t="s">
        <v>23</v>
      </c>
      <c r="E11" s="9">
        <v>2</v>
      </c>
      <c r="F11" s="10">
        <v>99</v>
      </c>
      <c r="G11" s="11">
        <v>0</v>
      </c>
      <c r="H11" s="9" t="s">
        <v>27</v>
      </c>
      <c r="I11" s="9">
        <v>35</v>
      </c>
      <c r="J11" s="9" t="s">
        <v>33</v>
      </c>
      <c r="K11" s="9" t="s">
        <v>37</v>
      </c>
      <c r="L11" s="12">
        <v>4</v>
      </c>
      <c r="M11" s="10">
        <f t="shared" si="3"/>
        <v>198</v>
      </c>
      <c r="N11" s="10">
        <f t="shared" si="0"/>
        <v>0</v>
      </c>
      <c r="O11" s="10">
        <f t="shared" si="1"/>
        <v>198</v>
      </c>
      <c r="P11" s="22">
        <f t="shared" si="4"/>
        <v>-0.72499122039642028</v>
      </c>
      <c r="Q11" s="9" t="str">
        <f t="shared" si="2"/>
        <v>No</v>
      </c>
    </row>
    <row r="12" spans="1:17" x14ac:dyDescent="0.25">
      <c r="A12" s="7">
        <v>11</v>
      </c>
      <c r="B12" s="8">
        <v>45849</v>
      </c>
      <c r="C12" s="9" t="s">
        <v>19</v>
      </c>
      <c r="D12" s="9" t="s">
        <v>23</v>
      </c>
      <c r="E12" s="9">
        <v>14</v>
      </c>
      <c r="F12" s="10">
        <v>95</v>
      </c>
      <c r="G12" s="11">
        <v>5</v>
      </c>
      <c r="H12" s="9" t="s">
        <v>25</v>
      </c>
      <c r="I12" s="9">
        <v>37</v>
      </c>
      <c r="J12" s="9" t="s">
        <v>34</v>
      </c>
      <c r="K12" s="9" t="s">
        <v>35</v>
      </c>
      <c r="L12" s="12">
        <v>1</v>
      </c>
      <c r="M12" s="10">
        <f t="shared" si="3"/>
        <v>1330</v>
      </c>
      <c r="N12" s="10">
        <f t="shared" si="0"/>
        <v>66.5</v>
      </c>
      <c r="O12" s="10">
        <f t="shared" si="1"/>
        <v>1330</v>
      </c>
      <c r="P12" s="22">
        <f t="shared" si="4"/>
        <v>-0.56439356698070453</v>
      </c>
      <c r="Q12" s="9" t="str">
        <f t="shared" si="2"/>
        <v>No</v>
      </c>
    </row>
    <row r="13" spans="1:17" x14ac:dyDescent="0.25">
      <c r="A13" s="7">
        <v>12</v>
      </c>
      <c r="B13" s="8">
        <v>45850</v>
      </c>
      <c r="C13" s="9" t="s">
        <v>20</v>
      </c>
      <c r="D13" s="9" t="s">
        <v>23</v>
      </c>
      <c r="E13" s="9">
        <v>97</v>
      </c>
      <c r="F13" s="10">
        <v>220</v>
      </c>
      <c r="G13" s="11">
        <v>10</v>
      </c>
      <c r="H13" s="9" t="s">
        <v>25</v>
      </c>
      <c r="I13" s="9">
        <v>36</v>
      </c>
      <c r="J13" s="9" t="s">
        <v>31</v>
      </c>
      <c r="K13" s="9" t="s">
        <v>36</v>
      </c>
      <c r="L13" s="12">
        <v>4</v>
      </c>
      <c r="M13" s="10">
        <f t="shared" si="3"/>
        <v>21340</v>
      </c>
      <c r="N13" s="10">
        <f t="shared" si="0"/>
        <v>2134</v>
      </c>
      <c r="O13" s="10">
        <f t="shared" si="1"/>
        <v>21340</v>
      </c>
      <c r="P13" s="22">
        <f t="shared" si="4"/>
        <v>2.2744395115073455</v>
      </c>
      <c r="Q13" s="9" t="str">
        <f t="shared" si="2"/>
        <v>Yes</v>
      </c>
    </row>
    <row r="14" spans="1:17" x14ac:dyDescent="0.25">
      <c r="A14" s="7">
        <v>13</v>
      </c>
      <c r="B14" s="8">
        <v>45851</v>
      </c>
      <c r="C14" s="9" t="s">
        <v>21</v>
      </c>
      <c r="D14" s="9" t="s">
        <v>23</v>
      </c>
      <c r="E14" s="9">
        <v>23</v>
      </c>
      <c r="F14" s="10">
        <v>90</v>
      </c>
      <c r="G14" s="11">
        <v>15</v>
      </c>
      <c r="H14" s="9" t="s">
        <v>25</v>
      </c>
      <c r="I14" s="9">
        <v>41</v>
      </c>
      <c r="J14" s="9" t="s">
        <v>31</v>
      </c>
      <c r="K14" s="9" t="s">
        <v>37</v>
      </c>
      <c r="L14" s="12">
        <v>1</v>
      </c>
      <c r="M14" s="10">
        <f t="shared" si="3"/>
        <v>2070</v>
      </c>
      <c r="N14" s="10">
        <f t="shared" si="0"/>
        <v>310.5</v>
      </c>
      <c r="O14" s="10">
        <f t="shared" si="1"/>
        <v>2070</v>
      </c>
      <c r="P14" s="22">
        <f t="shared" si="4"/>
        <v>-0.45940923524251576</v>
      </c>
      <c r="Q14" s="9" t="str">
        <f t="shared" si="2"/>
        <v>No</v>
      </c>
    </row>
    <row r="15" spans="1:17" x14ac:dyDescent="0.25">
      <c r="A15" s="7">
        <v>14</v>
      </c>
      <c r="B15" s="8">
        <v>45852</v>
      </c>
      <c r="C15" s="9" t="s">
        <v>13</v>
      </c>
      <c r="D15" s="9" t="s">
        <v>22</v>
      </c>
      <c r="E15" s="9">
        <v>12</v>
      </c>
      <c r="F15" s="10">
        <v>250</v>
      </c>
      <c r="G15" s="11">
        <v>0</v>
      </c>
      <c r="H15" s="9" t="s">
        <v>26</v>
      </c>
      <c r="I15" s="9">
        <v>18</v>
      </c>
      <c r="J15" s="9" t="s">
        <v>32</v>
      </c>
      <c r="K15" s="9" t="s">
        <v>37</v>
      </c>
      <c r="L15" s="12">
        <v>5</v>
      </c>
      <c r="M15" s="10">
        <f t="shared" si="3"/>
        <v>3000</v>
      </c>
      <c r="N15" s="10">
        <f t="shared" si="0"/>
        <v>0</v>
      </c>
      <c r="O15" s="10">
        <f t="shared" si="1"/>
        <v>3000</v>
      </c>
      <c r="P15" s="22">
        <f t="shared" si="4"/>
        <v>-0.32746946697695423</v>
      </c>
      <c r="Q15" s="9" t="str">
        <f t="shared" si="2"/>
        <v>No</v>
      </c>
    </row>
    <row r="16" spans="1:17" x14ac:dyDescent="0.25">
      <c r="A16" s="7">
        <v>15</v>
      </c>
      <c r="B16" s="8">
        <v>45853</v>
      </c>
      <c r="C16" s="9" t="s">
        <v>14</v>
      </c>
      <c r="D16" s="9" t="s">
        <v>24</v>
      </c>
      <c r="E16" s="9">
        <v>42</v>
      </c>
      <c r="F16" s="10">
        <v>550</v>
      </c>
      <c r="G16" s="11">
        <v>10</v>
      </c>
      <c r="H16" s="9" t="s">
        <v>26</v>
      </c>
      <c r="I16" s="9">
        <v>18</v>
      </c>
      <c r="J16" s="9" t="s">
        <v>33</v>
      </c>
      <c r="K16" s="9" t="s">
        <v>35</v>
      </c>
      <c r="L16" s="12">
        <v>5</v>
      </c>
      <c r="M16" s="10">
        <f t="shared" si="3"/>
        <v>23100</v>
      </c>
      <c r="N16" s="10">
        <f t="shared" si="0"/>
        <v>2310</v>
      </c>
      <c r="O16" s="10">
        <f t="shared" si="1"/>
        <v>23100</v>
      </c>
      <c r="P16" s="22">
        <f t="shared" si="4"/>
        <v>2.5241319761819563</v>
      </c>
      <c r="Q16" s="9" t="str">
        <f t="shared" si="2"/>
        <v>Yes</v>
      </c>
    </row>
    <row r="17" spans="1:17" x14ac:dyDescent="0.25">
      <c r="A17" s="7">
        <v>16</v>
      </c>
      <c r="B17" s="8">
        <v>45854</v>
      </c>
      <c r="C17" s="9" t="s">
        <v>15</v>
      </c>
      <c r="D17" s="9" t="s">
        <v>23</v>
      </c>
      <c r="E17" s="9">
        <v>53</v>
      </c>
      <c r="F17" s="10">
        <v>185</v>
      </c>
      <c r="G17" s="11">
        <v>15</v>
      </c>
      <c r="H17" s="9" t="s">
        <v>27</v>
      </c>
      <c r="I17" s="9">
        <v>19</v>
      </c>
      <c r="J17" s="9" t="s">
        <v>34</v>
      </c>
      <c r="K17" s="9" t="s">
        <v>36</v>
      </c>
      <c r="L17" s="12">
        <v>3</v>
      </c>
      <c r="M17" s="10">
        <f t="shared" si="3"/>
        <v>9805</v>
      </c>
      <c r="N17" s="10">
        <f t="shared" si="0"/>
        <v>1470.75</v>
      </c>
      <c r="O17" s="10">
        <f t="shared" si="1"/>
        <v>9805</v>
      </c>
      <c r="P17" s="22">
        <f t="shared" si="4"/>
        <v>0.63796077285868691</v>
      </c>
      <c r="Q17" s="9" t="str">
        <f t="shared" si="2"/>
        <v>No</v>
      </c>
    </row>
    <row r="18" spans="1:17" x14ac:dyDescent="0.25">
      <c r="A18" s="7">
        <v>17</v>
      </c>
      <c r="B18" s="8">
        <v>45855</v>
      </c>
      <c r="C18" s="9" t="s">
        <v>16</v>
      </c>
      <c r="D18" s="9" t="s">
        <v>23</v>
      </c>
      <c r="E18" s="9">
        <v>2</v>
      </c>
      <c r="F18" s="10">
        <v>95</v>
      </c>
      <c r="G18" s="11">
        <v>0</v>
      </c>
      <c r="H18" s="9" t="s">
        <v>25</v>
      </c>
      <c r="I18" s="9">
        <v>20</v>
      </c>
      <c r="J18" s="9" t="s">
        <v>33</v>
      </c>
      <c r="K18" s="9" t="s">
        <v>37</v>
      </c>
      <c r="L18" s="12">
        <v>4</v>
      </c>
      <c r="M18" s="10">
        <f t="shared" si="3"/>
        <v>190</v>
      </c>
      <c r="N18" s="10">
        <f t="shared" si="0"/>
        <v>0</v>
      </c>
      <c r="O18" s="10">
        <f t="shared" si="1"/>
        <v>190</v>
      </c>
      <c r="P18" s="22">
        <f t="shared" si="4"/>
        <v>-0.72612618614494118</v>
      </c>
      <c r="Q18" s="9" t="str">
        <f t="shared" si="2"/>
        <v>No</v>
      </c>
    </row>
    <row r="19" spans="1:17" x14ac:dyDescent="0.25">
      <c r="A19" s="7">
        <v>18</v>
      </c>
      <c r="B19" s="8">
        <v>45856</v>
      </c>
      <c r="C19" s="9" t="s">
        <v>15</v>
      </c>
      <c r="D19" s="9" t="s">
        <v>23</v>
      </c>
      <c r="E19" s="9">
        <v>10</v>
      </c>
      <c r="F19" s="10">
        <v>185</v>
      </c>
      <c r="G19" s="11">
        <v>0</v>
      </c>
      <c r="H19" s="9" t="s">
        <v>25</v>
      </c>
      <c r="I19" s="9">
        <v>21</v>
      </c>
      <c r="J19" s="9" t="s">
        <v>34</v>
      </c>
      <c r="K19" s="9" t="s">
        <v>36</v>
      </c>
      <c r="L19" s="12">
        <v>5</v>
      </c>
      <c r="M19" s="10">
        <f t="shared" si="3"/>
        <v>1850</v>
      </c>
      <c r="N19" s="10">
        <f t="shared" si="0"/>
        <v>0</v>
      </c>
      <c r="O19" s="10">
        <f t="shared" si="1"/>
        <v>1850</v>
      </c>
      <c r="P19" s="22">
        <f t="shared" si="4"/>
        <v>-0.49062079332684216</v>
      </c>
      <c r="Q19" s="9" t="str">
        <f t="shared" si="2"/>
        <v>No</v>
      </c>
    </row>
    <row r="20" spans="1:17" x14ac:dyDescent="0.25">
      <c r="A20" s="7">
        <v>19</v>
      </c>
      <c r="B20" s="8">
        <v>45857</v>
      </c>
      <c r="C20" s="9" t="s">
        <v>16</v>
      </c>
      <c r="D20" s="9" t="s">
        <v>23</v>
      </c>
      <c r="E20" s="9">
        <v>4</v>
      </c>
      <c r="F20" s="10">
        <v>95</v>
      </c>
      <c r="G20" s="11">
        <v>5</v>
      </c>
      <c r="H20" s="9" t="s">
        <v>25</v>
      </c>
      <c r="I20" s="9">
        <v>22</v>
      </c>
      <c r="J20" s="9" t="s">
        <v>31</v>
      </c>
      <c r="K20" s="9" t="s">
        <v>37</v>
      </c>
      <c r="L20" s="12">
        <v>2</v>
      </c>
      <c r="M20" s="10">
        <f t="shared" si="3"/>
        <v>380</v>
      </c>
      <c r="N20" s="10">
        <f t="shared" si="0"/>
        <v>19</v>
      </c>
      <c r="O20" s="10">
        <f t="shared" si="1"/>
        <v>380</v>
      </c>
      <c r="P20" s="22">
        <f t="shared" si="4"/>
        <v>-0.69917074961756842</v>
      </c>
      <c r="Q20" s="9" t="str">
        <f t="shared" si="2"/>
        <v>No</v>
      </c>
    </row>
    <row r="21" spans="1:17" x14ac:dyDescent="0.25">
      <c r="A21" s="7">
        <v>20</v>
      </c>
      <c r="B21" s="8">
        <v>45858</v>
      </c>
      <c r="C21" s="9" t="s">
        <v>17</v>
      </c>
      <c r="D21" s="9" t="s">
        <v>23</v>
      </c>
      <c r="E21" s="9">
        <v>24</v>
      </c>
      <c r="F21" s="10">
        <v>20</v>
      </c>
      <c r="G21" s="11">
        <v>0</v>
      </c>
      <c r="H21" s="9" t="s">
        <v>26</v>
      </c>
      <c r="I21" s="9">
        <v>18</v>
      </c>
      <c r="J21" s="9" t="s">
        <v>32</v>
      </c>
      <c r="K21" s="9" t="s">
        <v>37</v>
      </c>
      <c r="L21" s="12">
        <v>1</v>
      </c>
      <c r="M21" s="10">
        <f t="shared" si="3"/>
        <v>480</v>
      </c>
      <c r="N21" s="10">
        <f t="shared" si="0"/>
        <v>0</v>
      </c>
      <c r="O21" s="10">
        <f t="shared" si="1"/>
        <v>480</v>
      </c>
      <c r="P21" s="22">
        <f t="shared" si="4"/>
        <v>-0.6849836777610564</v>
      </c>
      <c r="Q21" s="9" t="str">
        <f t="shared" si="2"/>
        <v>No</v>
      </c>
    </row>
    <row r="22" spans="1:17" x14ac:dyDescent="0.25">
      <c r="A22" s="7">
        <v>21</v>
      </c>
      <c r="B22" s="8">
        <v>45859</v>
      </c>
      <c r="C22" s="9" t="s">
        <v>18</v>
      </c>
      <c r="D22" s="9" t="s">
        <v>23</v>
      </c>
      <c r="E22" s="9">
        <v>76</v>
      </c>
      <c r="F22" s="10">
        <v>99</v>
      </c>
      <c r="G22" s="11">
        <v>5</v>
      </c>
      <c r="H22" s="9" t="s">
        <v>26</v>
      </c>
      <c r="I22" s="9">
        <v>23</v>
      </c>
      <c r="J22" s="9" t="s">
        <v>33</v>
      </c>
      <c r="K22" s="9" t="s">
        <v>35</v>
      </c>
      <c r="L22" s="12">
        <v>4</v>
      </c>
      <c r="M22" s="10">
        <f t="shared" si="3"/>
        <v>7524</v>
      </c>
      <c r="N22" s="10">
        <f t="shared" si="0"/>
        <v>376.2</v>
      </c>
      <c r="O22" s="10">
        <f t="shared" si="1"/>
        <v>7524</v>
      </c>
      <c r="P22" s="22">
        <f t="shared" si="4"/>
        <v>0.31435366381164831</v>
      </c>
      <c r="Q22" s="9" t="str">
        <f t="shared" si="2"/>
        <v>No</v>
      </c>
    </row>
    <row r="23" spans="1:17" x14ac:dyDescent="0.25">
      <c r="A23" s="7">
        <v>22</v>
      </c>
      <c r="B23" s="8">
        <v>45860</v>
      </c>
      <c r="C23" s="9" t="s">
        <v>19</v>
      </c>
      <c r="D23" s="9" t="s">
        <v>23</v>
      </c>
      <c r="E23" s="9">
        <v>14</v>
      </c>
      <c r="F23" s="10">
        <v>95</v>
      </c>
      <c r="G23" s="11">
        <v>0</v>
      </c>
      <c r="H23" s="9" t="s">
        <v>27</v>
      </c>
      <c r="I23" s="9">
        <v>45</v>
      </c>
      <c r="J23" s="9" t="s">
        <v>33</v>
      </c>
      <c r="K23" s="9" t="s">
        <v>36</v>
      </c>
      <c r="L23" s="12">
        <v>1</v>
      </c>
      <c r="M23" s="10">
        <f t="shared" si="3"/>
        <v>1330</v>
      </c>
      <c r="N23" s="10">
        <f t="shared" si="0"/>
        <v>0</v>
      </c>
      <c r="O23" s="10">
        <f t="shared" si="1"/>
        <v>1330</v>
      </c>
      <c r="P23" s="22">
        <f t="shared" si="4"/>
        <v>-0.56439356698070453</v>
      </c>
      <c r="Q23" s="9" t="str">
        <f t="shared" si="2"/>
        <v>No</v>
      </c>
    </row>
    <row r="24" spans="1:17" x14ac:dyDescent="0.25">
      <c r="A24" s="7">
        <v>23</v>
      </c>
      <c r="B24" s="8">
        <v>45861</v>
      </c>
      <c r="C24" s="9" t="s">
        <v>11</v>
      </c>
      <c r="D24" s="9" t="s">
        <v>22</v>
      </c>
      <c r="E24" s="9">
        <v>97</v>
      </c>
      <c r="F24" s="10">
        <v>50</v>
      </c>
      <c r="G24" s="11">
        <v>0</v>
      </c>
      <c r="H24" s="9" t="s">
        <v>25</v>
      </c>
      <c r="I24" s="9">
        <v>19</v>
      </c>
      <c r="J24" s="9" t="s">
        <v>34</v>
      </c>
      <c r="K24" s="9" t="s">
        <v>37</v>
      </c>
      <c r="L24" s="12">
        <v>4</v>
      </c>
      <c r="M24" s="10">
        <f t="shared" si="3"/>
        <v>4850</v>
      </c>
      <c r="N24" s="10">
        <f t="shared" si="0"/>
        <v>0</v>
      </c>
      <c r="O24" s="10">
        <f t="shared" si="1"/>
        <v>4850</v>
      </c>
      <c r="P24" s="22">
        <f t="shared" si="4"/>
        <v>-6.5008637631482361E-2</v>
      </c>
      <c r="Q24" s="9" t="str">
        <f t="shared" si="2"/>
        <v>No</v>
      </c>
    </row>
    <row r="25" spans="1:17" x14ac:dyDescent="0.25">
      <c r="A25" s="7">
        <v>24</v>
      </c>
      <c r="B25" s="8">
        <v>45862</v>
      </c>
      <c r="C25" s="9" t="s">
        <v>12</v>
      </c>
      <c r="D25" s="9" t="s">
        <v>24</v>
      </c>
      <c r="E25" s="9">
        <v>23</v>
      </c>
      <c r="F25" s="10">
        <v>54</v>
      </c>
      <c r="G25" s="11">
        <v>5</v>
      </c>
      <c r="H25" s="9" t="s">
        <v>25</v>
      </c>
      <c r="I25" s="9">
        <v>23</v>
      </c>
      <c r="J25" s="9" t="s">
        <v>31</v>
      </c>
      <c r="K25" s="9" t="s">
        <v>36</v>
      </c>
      <c r="L25" s="12">
        <v>1</v>
      </c>
      <c r="M25" s="10">
        <f t="shared" si="3"/>
        <v>1242</v>
      </c>
      <c r="N25" s="10">
        <f t="shared" si="0"/>
        <v>62.1</v>
      </c>
      <c r="O25" s="10">
        <f t="shared" si="1"/>
        <v>1242</v>
      </c>
      <c r="P25" s="22">
        <f t="shared" si="4"/>
        <v>-0.57687819021443509</v>
      </c>
      <c r="Q25" s="9" t="str">
        <f t="shared" si="2"/>
        <v>No</v>
      </c>
    </row>
    <row r="26" spans="1:17" x14ac:dyDescent="0.25">
      <c r="A26" s="7">
        <v>25</v>
      </c>
      <c r="B26" s="8">
        <v>45863</v>
      </c>
      <c r="C26" s="9" t="s">
        <v>13</v>
      </c>
      <c r="D26" s="9" t="s">
        <v>22</v>
      </c>
      <c r="E26" s="9">
        <v>12</v>
      </c>
      <c r="F26" s="10">
        <v>250</v>
      </c>
      <c r="G26" s="11">
        <v>0</v>
      </c>
      <c r="H26" s="9" t="s">
        <v>25</v>
      </c>
      <c r="I26" s="9">
        <v>25</v>
      </c>
      <c r="J26" s="9" t="s">
        <v>31</v>
      </c>
      <c r="K26" s="9" t="s">
        <v>37</v>
      </c>
      <c r="L26" s="12">
        <v>5</v>
      </c>
      <c r="M26" s="10">
        <f t="shared" si="3"/>
        <v>3000</v>
      </c>
      <c r="N26" s="10">
        <f t="shared" si="0"/>
        <v>0</v>
      </c>
      <c r="O26" s="10">
        <f t="shared" si="1"/>
        <v>3000</v>
      </c>
      <c r="P26" s="22">
        <f t="shared" si="4"/>
        <v>-0.32746946697695423</v>
      </c>
      <c r="Q26" s="9" t="str">
        <f t="shared" si="2"/>
        <v>No</v>
      </c>
    </row>
    <row r="27" spans="1:17" x14ac:dyDescent="0.25">
      <c r="A27" s="7">
        <v>26</v>
      </c>
      <c r="B27" s="8">
        <v>45864</v>
      </c>
      <c r="C27" s="9" t="s">
        <v>14</v>
      </c>
      <c r="D27" s="9" t="s">
        <v>24</v>
      </c>
      <c r="E27" s="9">
        <v>42</v>
      </c>
      <c r="F27" s="10">
        <v>550</v>
      </c>
      <c r="G27" s="11">
        <v>5</v>
      </c>
      <c r="H27" s="9" t="s">
        <v>26</v>
      </c>
      <c r="I27" s="9">
        <v>27</v>
      </c>
      <c r="J27" s="9" t="s">
        <v>32</v>
      </c>
      <c r="K27" s="9" t="s">
        <v>35</v>
      </c>
      <c r="L27" s="12">
        <v>5</v>
      </c>
      <c r="M27" s="10">
        <f t="shared" si="3"/>
        <v>23100</v>
      </c>
      <c r="N27" s="10">
        <f t="shared" si="0"/>
        <v>1155</v>
      </c>
      <c r="O27" s="10">
        <f t="shared" si="1"/>
        <v>23100</v>
      </c>
      <c r="P27" s="22">
        <f t="shared" si="4"/>
        <v>2.5241319761819563</v>
      </c>
      <c r="Q27" s="9" t="str">
        <f t="shared" si="2"/>
        <v>Yes</v>
      </c>
    </row>
    <row r="28" spans="1:17" x14ac:dyDescent="0.25">
      <c r="A28" s="7">
        <v>27</v>
      </c>
      <c r="B28" s="8">
        <v>45865</v>
      </c>
      <c r="C28" s="9" t="s">
        <v>15</v>
      </c>
      <c r="D28" s="9" t="s">
        <v>23</v>
      </c>
      <c r="E28" s="9">
        <v>53</v>
      </c>
      <c r="F28" s="10">
        <v>185</v>
      </c>
      <c r="G28" s="11">
        <v>0</v>
      </c>
      <c r="H28" s="9" t="s">
        <v>26</v>
      </c>
      <c r="I28" s="9">
        <v>28</v>
      </c>
      <c r="J28" s="9" t="s">
        <v>33</v>
      </c>
      <c r="K28" s="9" t="s">
        <v>35</v>
      </c>
      <c r="L28" s="12">
        <v>4</v>
      </c>
      <c r="M28" s="10">
        <f t="shared" si="3"/>
        <v>9805</v>
      </c>
      <c r="N28" s="10">
        <f t="shared" si="0"/>
        <v>0</v>
      </c>
      <c r="O28" s="10">
        <f t="shared" si="1"/>
        <v>9805</v>
      </c>
      <c r="P28" s="22">
        <f t="shared" si="4"/>
        <v>0.63796077285868691</v>
      </c>
      <c r="Q28" s="9" t="str">
        <f t="shared" si="2"/>
        <v>No</v>
      </c>
    </row>
    <row r="29" spans="1:17" x14ac:dyDescent="0.25">
      <c r="A29" s="7">
        <v>28</v>
      </c>
      <c r="B29" s="8">
        <v>45866</v>
      </c>
      <c r="C29" s="9" t="s">
        <v>16</v>
      </c>
      <c r="D29" s="9" t="s">
        <v>23</v>
      </c>
      <c r="E29" s="9">
        <v>2</v>
      </c>
      <c r="F29" s="10">
        <v>95</v>
      </c>
      <c r="G29" s="11">
        <v>5</v>
      </c>
      <c r="H29" s="9" t="s">
        <v>27</v>
      </c>
      <c r="I29" s="9">
        <v>30</v>
      </c>
      <c r="J29" s="9" t="s">
        <v>34</v>
      </c>
      <c r="K29" s="9" t="s">
        <v>36</v>
      </c>
      <c r="L29" s="12">
        <v>3</v>
      </c>
      <c r="M29" s="10">
        <f t="shared" si="3"/>
        <v>190</v>
      </c>
      <c r="N29" s="10">
        <f t="shared" si="0"/>
        <v>9.5</v>
      </c>
      <c r="O29" s="10">
        <f t="shared" si="1"/>
        <v>190</v>
      </c>
      <c r="P29" s="22">
        <f t="shared" si="4"/>
        <v>-0.72612618614494118</v>
      </c>
      <c r="Q29" s="9" t="str">
        <f t="shared" si="2"/>
        <v>No</v>
      </c>
    </row>
    <row r="30" spans="1:17" x14ac:dyDescent="0.25">
      <c r="A30" s="7">
        <v>29</v>
      </c>
      <c r="B30" s="8">
        <v>45867</v>
      </c>
      <c r="C30" s="9" t="s">
        <v>9</v>
      </c>
      <c r="D30" s="9" t="s">
        <v>22</v>
      </c>
      <c r="E30" s="9">
        <v>10</v>
      </c>
      <c r="F30" s="10">
        <v>55</v>
      </c>
      <c r="G30" s="11">
        <v>0</v>
      </c>
      <c r="H30" s="9" t="s">
        <v>25</v>
      </c>
      <c r="I30" s="9">
        <v>35</v>
      </c>
      <c r="J30" s="9" t="s">
        <v>31</v>
      </c>
      <c r="K30" s="9" t="s">
        <v>37</v>
      </c>
      <c r="L30" s="12">
        <v>4</v>
      </c>
      <c r="M30" s="10">
        <f t="shared" si="3"/>
        <v>550</v>
      </c>
      <c r="N30" s="10">
        <f t="shared" si="0"/>
        <v>0</v>
      </c>
      <c r="O30" s="10">
        <f t="shared" si="1"/>
        <v>550</v>
      </c>
      <c r="P30" s="22">
        <f t="shared" si="4"/>
        <v>-0.67505272746149803</v>
      </c>
      <c r="Q30" s="9" t="str">
        <f t="shared" si="2"/>
        <v>No</v>
      </c>
    </row>
    <row r="31" spans="1:17" x14ac:dyDescent="0.25">
      <c r="A31" s="7">
        <v>30</v>
      </c>
      <c r="B31" s="8">
        <v>45868</v>
      </c>
      <c r="C31" s="9" t="s">
        <v>10</v>
      </c>
      <c r="D31" s="9" t="s">
        <v>22</v>
      </c>
      <c r="E31" s="9">
        <v>4</v>
      </c>
      <c r="F31" s="10">
        <v>145</v>
      </c>
      <c r="G31" s="11">
        <v>5</v>
      </c>
      <c r="H31" s="9" t="s">
        <v>25</v>
      </c>
      <c r="I31" s="9">
        <v>37</v>
      </c>
      <c r="J31" s="9" t="s">
        <v>31</v>
      </c>
      <c r="K31" s="9" t="s">
        <v>37</v>
      </c>
      <c r="L31" s="12">
        <v>5</v>
      </c>
      <c r="M31" s="10">
        <f t="shared" si="3"/>
        <v>580</v>
      </c>
      <c r="N31" s="10">
        <f t="shared" si="0"/>
        <v>29</v>
      </c>
      <c r="O31" s="10">
        <f t="shared" si="1"/>
        <v>580</v>
      </c>
      <c r="P31" s="22">
        <f t="shared" si="4"/>
        <v>-0.67079660590454449</v>
      </c>
      <c r="Q31" s="9" t="str">
        <f t="shared" si="2"/>
        <v>No</v>
      </c>
    </row>
    <row r="32" spans="1:17" x14ac:dyDescent="0.25">
      <c r="A32" s="7">
        <v>31</v>
      </c>
      <c r="B32" s="8">
        <v>45869</v>
      </c>
      <c r="C32" s="9" t="s">
        <v>11</v>
      </c>
      <c r="D32" s="9" t="s">
        <v>22</v>
      </c>
      <c r="E32" s="9">
        <v>24</v>
      </c>
      <c r="F32" s="10">
        <v>50</v>
      </c>
      <c r="G32" s="11">
        <v>10</v>
      </c>
      <c r="H32" s="9" t="s">
        <v>25</v>
      </c>
      <c r="I32" s="9">
        <v>36</v>
      </c>
      <c r="J32" s="9" t="s">
        <v>32</v>
      </c>
      <c r="K32" s="9" t="s">
        <v>35</v>
      </c>
      <c r="L32" s="12">
        <v>2</v>
      </c>
      <c r="M32" s="10">
        <f t="shared" si="3"/>
        <v>1200</v>
      </c>
      <c r="N32" s="10">
        <f t="shared" si="0"/>
        <v>120</v>
      </c>
      <c r="O32" s="10">
        <f t="shared" si="1"/>
        <v>1200</v>
      </c>
      <c r="P32" s="22">
        <f t="shared" si="4"/>
        <v>-0.58283676039417009</v>
      </c>
      <c r="Q32" s="9" t="str">
        <f t="shared" si="2"/>
        <v>No</v>
      </c>
    </row>
    <row r="33" spans="1:17" x14ac:dyDescent="0.25">
      <c r="A33" s="7">
        <v>32</v>
      </c>
      <c r="B33" s="8">
        <v>45870</v>
      </c>
      <c r="C33" s="9" t="s">
        <v>12</v>
      </c>
      <c r="D33" s="9" t="s">
        <v>24</v>
      </c>
      <c r="E33" s="9">
        <v>76</v>
      </c>
      <c r="F33" s="10">
        <v>54</v>
      </c>
      <c r="G33" s="11">
        <v>15</v>
      </c>
      <c r="H33" s="9" t="s">
        <v>26</v>
      </c>
      <c r="I33" s="9">
        <v>41</v>
      </c>
      <c r="J33" s="9" t="s">
        <v>33</v>
      </c>
      <c r="K33" s="9" t="s">
        <v>36</v>
      </c>
      <c r="L33" s="12">
        <v>1</v>
      </c>
      <c r="M33" s="10">
        <f t="shared" si="3"/>
        <v>4104</v>
      </c>
      <c r="N33" s="10">
        <f t="shared" si="0"/>
        <v>615.6</v>
      </c>
      <c r="O33" s="10">
        <f t="shared" si="1"/>
        <v>4104</v>
      </c>
      <c r="P33" s="22">
        <f t="shared" si="4"/>
        <v>-0.17084419368106182</v>
      </c>
      <c r="Q33" s="9" t="str">
        <f t="shared" si="2"/>
        <v>No</v>
      </c>
    </row>
    <row r="34" spans="1:17" x14ac:dyDescent="0.25">
      <c r="A34" s="7">
        <v>33</v>
      </c>
      <c r="B34" s="8">
        <v>45871</v>
      </c>
      <c r="C34" s="9" t="s">
        <v>17</v>
      </c>
      <c r="D34" s="9" t="s">
        <v>23</v>
      </c>
      <c r="E34" s="9">
        <v>2</v>
      </c>
      <c r="F34" s="10">
        <v>20</v>
      </c>
      <c r="G34" s="11">
        <v>0</v>
      </c>
      <c r="H34" s="9" t="s">
        <v>26</v>
      </c>
      <c r="I34" s="9">
        <v>18</v>
      </c>
      <c r="J34" s="9" t="s">
        <v>34</v>
      </c>
      <c r="K34" s="9" t="s">
        <v>37</v>
      </c>
      <c r="L34" s="12">
        <v>4</v>
      </c>
      <c r="M34" s="10">
        <f t="shared" ref="M34:M50" si="5">E34*F34</f>
        <v>40</v>
      </c>
      <c r="N34" s="10">
        <f t="shared" ref="N34:N50" si="6">M34*G34/100</f>
        <v>0</v>
      </c>
      <c r="O34" s="10">
        <f t="shared" ref="O34:O50" si="7">M34</f>
        <v>40</v>
      </c>
      <c r="P34" s="22">
        <f t="shared" si="4"/>
        <v>-0.74740679392970921</v>
      </c>
      <c r="Q34" s="9" t="str">
        <f t="shared" ref="Q34:Q50" si="8">IF(ABS(P34)&gt;2, "Yes", "No")</f>
        <v>No</v>
      </c>
    </row>
    <row r="35" spans="1:17" x14ac:dyDescent="0.25">
      <c r="A35" s="7">
        <v>34</v>
      </c>
      <c r="B35" s="8">
        <v>45872</v>
      </c>
      <c r="C35" s="9" t="s">
        <v>18</v>
      </c>
      <c r="D35" s="9" t="s">
        <v>23</v>
      </c>
      <c r="E35" s="9">
        <v>53</v>
      </c>
      <c r="F35" s="10">
        <v>99</v>
      </c>
      <c r="G35" s="11">
        <v>0</v>
      </c>
      <c r="H35" s="9" t="s">
        <v>27</v>
      </c>
      <c r="I35" s="9">
        <v>18</v>
      </c>
      <c r="J35" s="9" t="s">
        <v>33</v>
      </c>
      <c r="K35" s="9" t="s">
        <v>37</v>
      </c>
      <c r="L35" s="12">
        <v>1</v>
      </c>
      <c r="M35" s="10">
        <f t="shared" si="5"/>
        <v>5247</v>
      </c>
      <c r="N35" s="10">
        <f t="shared" si="6"/>
        <v>0</v>
      </c>
      <c r="O35" s="10">
        <f t="shared" si="7"/>
        <v>5247</v>
      </c>
      <c r="P35" s="22">
        <f t="shared" si="4"/>
        <v>-8.6859623611297513E-3</v>
      </c>
      <c r="Q35" s="9" t="str">
        <f t="shared" si="8"/>
        <v>No</v>
      </c>
    </row>
    <row r="36" spans="1:17" x14ac:dyDescent="0.25">
      <c r="A36" s="7">
        <v>35</v>
      </c>
      <c r="B36" s="8">
        <v>45873</v>
      </c>
      <c r="C36" s="9" t="s">
        <v>19</v>
      </c>
      <c r="D36" s="9" t="s">
        <v>23</v>
      </c>
      <c r="E36" s="9">
        <v>44</v>
      </c>
      <c r="F36" s="10">
        <v>95</v>
      </c>
      <c r="G36" s="11">
        <v>5</v>
      </c>
      <c r="H36" s="9" t="s">
        <v>25</v>
      </c>
      <c r="I36" s="9">
        <v>19</v>
      </c>
      <c r="J36" s="9" t="s">
        <v>34</v>
      </c>
      <c r="K36" s="9" t="s">
        <v>35</v>
      </c>
      <c r="L36" s="12">
        <v>4</v>
      </c>
      <c r="M36" s="10">
        <f t="shared" si="5"/>
        <v>4180</v>
      </c>
      <c r="N36" s="10">
        <f t="shared" si="6"/>
        <v>209</v>
      </c>
      <c r="O36" s="10">
        <f t="shared" si="7"/>
        <v>4180</v>
      </c>
      <c r="P36" s="22">
        <f t="shared" si="4"/>
        <v>-0.16006201907011272</v>
      </c>
      <c r="Q36" s="9" t="str">
        <f t="shared" si="8"/>
        <v>No</v>
      </c>
    </row>
    <row r="37" spans="1:17" x14ac:dyDescent="0.25">
      <c r="A37" s="7">
        <v>36</v>
      </c>
      <c r="B37" s="8">
        <v>45874</v>
      </c>
      <c r="C37" s="9" t="s">
        <v>20</v>
      </c>
      <c r="D37" s="9" t="s">
        <v>23</v>
      </c>
      <c r="E37" s="9">
        <v>2</v>
      </c>
      <c r="F37" s="10">
        <v>220</v>
      </c>
      <c r="G37" s="11">
        <v>0</v>
      </c>
      <c r="H37" s="9" t="s">
        <v>25</v>
      </c>
      <c r="I37" s="9">
        <v>20</v>
      </c>
      <c r="J37" s="9" t="s">
        <v>31</v>
      </c>
      <c r="K37" s="9" t="s">
        <v>36</v>
      </c>
      <c r="L37" s="12">
        <v>1</v>
      </c>
      <c r="M37" s="10">
        <f t="shared" si="5"/>
        <v>440</v>
      </c>
      <c r="N37" s="10">
        <f t="shared" si="6"/>
        <v>0</v>
      </c>
      <c r="O37" s="10">
        <f t="shared" si="7"/>
        <v>440</v>
      </c>
      <c r="P37" s="22">
        <f t="shared" si="4"/>
        <v>-0.69065850650366123</v>
      </c>
      <c r="Q37" s="9" t="str">
        <f t="shared" si="8"/>
        <v>No</v>
      </c>
    </row>
    <row r="38" spans="1:17" x14ac:dyDescent="0.25">
      <c r="A38" s="7">
        <v>37</v>
      </c>
      <c r="B38" s="8">
        <v>45875</v>
      </c>
      <c r="C38" s="9" t="s">
        <v>19</v>
      </c>
      <c r="D38" s="9" t="s">
        <v>23</v>
      </c>
      <c r="E38" s="9">
        <v>10</v>
      </c>
      <c r="F38" s="10">
        <v>95</v>
      </c>
      <c r="G38" s="11">
        <v>5</v>
      </c>
      <c r="H38" s="9" t="s">
        <v>25</v>
      </c>
      <c r="I38" s="9">
        <v>21</v>
      </c>
      <c r="J38" s="9" t="s">
        <v>32</v>
      </c>
      <c r="K38" s="9" t="s">
        <v>37</v>
      </c>
      <c r="L38" s="12">
        <v>5</v>
      </c>
      <c r="M38" s="10">
        <f t="shared" si="5"/>
        <v>950</v>
      </c>
      <c r="N38" s="10">
        <f t="shared" si="6"/>
        <v>47.5</v>
      </c>
      <c r="O38" s="10">
        <f t="shared" si="7"/>
        <v>950</v>
      </c>
      <c r="P38" s="22">
        <f t="shared" si="4"/>
        <v>-0.61830444003545004</v>
      </c>
      <c r="Q38" s="9" t="str">
        <f t="shared" si="8"/>
        <v>No</v>
      </c>
    </row>
    <row r="39" spans="1:17" x14ac:dyDescent="0.25">
      <c r="A39" s="7">
        <v>38</v>
      </c>
      <c r="B39" s="8">
        <v>45876</v>
      </c>
      <c r="C39" s="9" t="s">
        <v>20</v>
      </c>
      <c r="D39" s="9" t="s">
        <v>23</v>
      </c>
      <c r="E39" s="9">
        <v>4</v>
      </c>
      <c r="F39" s="10">
        <v>220</v>
      </c>
      <c r="G39" s="11">
        <v>10</v>
      </c>
      <c r="H39" s="9" t="s">
        <v>26</v>
      </c>
      <c r="I39" s="9">
        <v>22</v>
      </c>
      <c r="J39" s="9" t="s">
        <v>33</v>
      </c>
      <c r="K39" s="9" t="s">
        <v>35</v>
      </c>
      <c r="L39" s="12">
        <v>5</v>
      </c>
      <c r="M39" s="10">
        <f t="shared" si="5"/>
        <v>880</v>
      </c>
      <c r="N39" s="10">
        <f t="shared" si="6"/>
        <v>88</v>
      </c>
      <c r="O39" s="10">
        <f t="shared" si="7"/>
        <v>880</v>
      </c>
      <c r="P39" s="22">
        <f t="shared" si="4"/>
        <v>-0.62823539033500853</v>
      </c>
      <c r="Q39" s="9" t="str">
        <f t="shared" si="8"/>
        <v>No</v>
      </c>
    </row>
    <row r="40" spans="1:17" x14ac:dyDescent="0.25">
      <c r="A40" s="7">
        <v>39</v>
      </c>
      <c r="B40" s="8">
        <v>45877</v>
      </c>
      <c r="C40" s="9" t="s">
        <v>21</v>
      </c>
      <c r="D40" s="9" t="s">
        <v>23</v>
      </c>
      <c r="E40" s="9">
        <v>24</v>
      </c>
      <c r="F40" s="10">
        <v>90</v>
      </c>
      <c r="G40" s="11">
        <v>15</v>
      </c>
      <c r="H40" s="9" t="s">
        <v>26</v>
      </c>
      <c r="I40" s="9">
        <v>18</v>
      </c>
      <c r="J40" s="9" t="s">
        <v>33</v>
      </c>
      <c r="K40" s="9" t="s">
        <v>36</v>
      </c>
      <c r="L40" s="12">
        <v>3</v>
      </c>
      <c r="M40" s="10">
        <f t="shared" si="5"/>
        <v>2160</v>
      </c>
      <c r="N40" s="10">
        <f t="shared" si="6"/>
        <v>324</v>
      </c>
      <c r="O40" s="10">
        <f t="shared" si="7"/>
        <v>2160</v>
      </c>
      <c r="P40" s="22">
        <f t="shared" si="4"/>
        <v>-0.44664087057165497</v>
      </c>
      <c r="Q40" s="9" t="str">
        <f t="shared" si="8"/>
        <v>No</v>
      </c>
    </row>
    <row r="41" spans="1:17" x14ac:dyDescent="0.25">
      <c r="A41" s="7">
        <v>40</v>
      </c>
      <c r="B41" s="8">
        <v>45878</v>
      </c>
      <c r="C41" s="9" t="s">
        <v>13</v>
      </c>
      <c r="D41" s="9" t="s">
        <v>22</v>
      </c>
      <c r="E41" s="9">
        <v>76</v>
      </c>
      <c r="F41" s="10">
        <v>250</v>
      </c>
      <c r="G41" s="11">
        <v>0</v>
      </c>
      <c r="H41" s="9" t="s">
        <v>27</v>
      </c>
      <c r="I41" s="9">
        <v>23</v>
      </c>
      <c r="J41" s="9" t="s">
        <v>34</v>
      </c>
      <c r="K41" s="9" t="s">
        <v>37</v>
      </c>
      <c r="L41" s="12">
        <v>4</v>
      </c>
      <c r="M41" s="10">
        <f t="shared" si="5"/>
        <v>19000</v>
      </c>
      <c r="N41" s="10">
        <f t="shared" si="6"/>
        <v>0</v>
      </c>
      <c r="O41" s="10">
        <f t="shared" si="7"/>
        <v>19000</v>
      </c>
      <c r="P41" s="22">
        <f t="shared" si="4"/>
        <v>1.9424620300649647</v>
      </c>
      <c r="Q41" s="9" t="str">
        <f t="shared" si="8"/>
        <v>No</v>
      </c>
    </row>
    <row r="42" spans="1:17" x14ac:dyDescent="0.25">
      <c r="A42" s="7">
        <v>41</v>
      </c>
      <c r="B42" s="8">
        <v>45879</v>
      </c>
      <c r="C42" s="9" t="s">
        <v>14</v>
      </c>
      <c r="D42" s="9" t="s">
        <v>24</v>
      </c>
      <c r="E42" s="9">
        <v>14</v>
      </c>
      <c r="F42" s="10">
        <v>550</v>
      </c>
      <c r="G42" s="11">
        <v>10</v>
      </c>
      <c r="H42" s="9" t="s">
        <v>25</v>
      </c>
      <c r="I42" s="9">
        <v>45</v>
      </c>
      <c r="J42" s="9" t="s">
        <v>31</v>
      </c>
      <c r="K42" s="9" t="s">
        <v>36</v>
      </c>
      <c r="L42" s="12">
        <v>5</v>
      </c>
      <c r="M42" s="10">
        <f t="shared" si="5"/>
        <v>7700</v>
      </c>
      <c r="N42" s="10">
        <f t="shared" si="6"/>
        <v>770</v>
      </c>
      <c r="O42" s="10">
        <f t="shared" si="7"/>
        <v>7700</v>
      </c>
      <c r="P42" s="22">
        <f t="shared" si="4"/>
        <v>0.33932291027910944</v>
      </c>
      <c r="Q42" s="9" t="str">
        <f t="shared" si="8"/>
        <v>No</v>
      </c>
    </row>
    <row r="43" spans="1:17" x14ac:dyDescent="0.25">
      <c r="A43" s="7">
        <v>42</v>
      </c>
      <c r="B43" s="8">
        <v>45880</v>
      </c>
      <c r="C43" s="9" t="s">
        <v>15</v>
      </c>
      <c r="D43" s="9" t="s">
        <v>23</v>
      </c>
      <c r="E43" s="9">
        <v>97</v>
      </c>
      <c r="F43" s="10">
        <v>185</v>
      </c>
      <c r="G43" s="11">
        <v>15</v>
      </c>
      <c r="H43" s="9" t="s">
        <v>25</v>
      </c>
      <c r="I43" s="9">
        <v>19</v>
      </c>
      <c r="J43" s="9" t="s">
        <v>33</v>
      </c>
      <c r="K43" s="9" t="s">
        <v>37</v>
      </c>
      <c r="L43" s="12">
        <v>2</v>
      </c>
      <c r="M43" s="10">
        <f t="shared" si="5"/>
        <v>17945</v>
      </c>
      <c r="N43" s="10">
        <f t="shared" si="6"/>
        <v>2691.75</v>
      </c>
      <c r="O43" s="10">
        <f t="shared" si="7"/>
        <v>17945</v>
      </c>
      <c r="P43" s="22">
        <f t="shared" si="4"/>
        <v>1.7927884219787633</v>
      </c>
      <c r="Q43" s="9" t="str">
        <f t="shared" si="8"/>
        <v>No</v>
      </c>
    </row>
    <row r="44" spans="1:17" x14ac:dyDescent="0.25">
      <c r="A44" s="7">
        <v>43</v>
      </c>
      <c r="B44" s="8">
        <v>45881</v>
      </c>
      <c r="C44" s="9" t="s">
        <v>12</v>
      </c>
      <c r="D44" s="9" t="s">
        <v>24</v>
      </c>
      <c r="E44" s="9">
        <v>23</v>
      </c>
      <c r="F44" s="10">
        <v>54</v>
      </c>
      <c r="G44" s="11">
        <v>0</v>
      </c>
      <c r="H44" s="9" t="s">
        <v>25</v>
      </c>
      <c r="I44" s="9">
        <v>23</v>
      </c>
      <c r="J44" s="9" t="s">
        <v>34</v>
      </c>
      <c r="K44" s="9" t="s">
        <v>35</v>
      </c>
      <c r="L44" s="12">
        <v>1</v>
      </c>
      <c r="M44" s="10">
        <f t="shared" si="5"/>
        <v>1242</v>
      </c>
      <c r="N44" s="10">
        <f t="shared" si="6"/>
        <v>0</v>
      </c>
      <c r="O44" s="10">
        <f t="shared" si="7"/>
        <v>1242</v>
      </c>
      <c r="P44" s="22">
        <f t="shared" si="4"/>
        <v>-0.57687819021443509</v>
      </c>
      <c r="Q44" s="9" t="str">
        <f t="shared" si="8"/>
        <v>No</v>
      </c>
    </row>
    <row r="45" spans="1:17" x14ac:dyDescent="0.25">
      <c r="A45" s="7">
        <v>44</v>
      </c>
      <c r="B45" s="8">
        <v>45882</v>
      </c>
      <c r="C45" s="9" t="s">
        <v>13</v>
      </c>
      <c r="D45" s="9" t="s">
        <v>22</v>
      </c>
      <c r="E45" s="9">
        <v>12</v>
      </c>
      <c r="F45" s="10">
        <v>250</v>
      </c>
      <c r="G45" s="11">
        <v>0</v>
      </c>
      <c r="H45" s="9" t="s">
        <v>26</v>
      </c>
      <c r="I45" s="9">
        <v>25</v>
      </c>
      <c r="J45" s="9" t="s">
        <v>31</v>
      </c>
      <c r="K45" s="9" t="s">
        <v>35</v>
      </c>
      <c r="L45" s="12">
        <v>4</v>
      </c>
      <c r="M45" s="10">
        <f t="shared" si="5"/>
        <v>3000</v>
      </c>
      <c r="N45" s="10">
        <f t="shared" si="6"/>
        <v>0</v>
      </c>
      <c r="O45" s="10">
        <f t="shared" si="7"/>
        <v>3000</v>
      </c>
      <c r="P45" s="22">
        <f t="shared" si="4"/>
        <v>-0.32746946697695423</v>
      </c>
      <c r="Q45" s="9" t="str">
        <f t="shared" si="8"/>
        <v>No</v>
      </c>
    </row>
    <row r="46" spans="1:17" x14ac:dyDescent="0.25">
      <c r="A46" s="7">
        <v>45</v>
      </c>
      <c r="B46" s="8">
        <v>45883</v>
      </c>
      <c r="C46" s="9" t="s">
        <v>14</v>
      </c>
      <c r="D46" s="9" t="s">
        <v>24</v>
      </c>
      <c r="E46" s="9">
        <v>42</v>
      </c>
      <c r="F46" s="10">
        <v>550</v>
      </c>
      <c r="G46" s="11">
        <v>5</v>
      </c>
      <c r="H46" s="9" t="s">
        <v>26</v>
      </c>
      <c r="I46" s="9">
        <v>27</v>
      </c>
      <c r="J46" s="9" t="s">
        <v>34</v>
      </c>
      <c r="K46" s="9" t="s">
        <v>36</v>
      </c>
      <c r="L46" s="12">
        <v>1</v>
      </c>
      <c r="M46" s="10">
        <f t="shared" si="5"/>
        <v>23100</v>
      </c>
      <c r="N46" s="10">
        <f t="shared" si="6"/>
        <v>1155</v>
      </c>
      <c r="O46" s="10">
        <f t="shared" si="7"/>
        <v>23100</v>
      </c>
      <c r="P46" s="22">
        <f t="shared" si="4"/>
        <v>2.5241319761819563</v>
      </c>
      <c r="Q46" s="9" t="str">
        <f t="shared" si="8"/>
        <v>Yes</v>
      </c>
    </row>
    <row r="47" spans="1:17" x14ac:dyDescent="0.25">
      <c r="A47" s="7">
        <v>46</v>
      </c>
      <c r="B47" s="8">
        <v>45884</v>
      </c>
      <c r="C47" s="9" t="s">
        <v>15</v>
      </c>
      <c r="D47" s="9" t="s">
        <v>23</v>
      </c>
      <c r="E47" s="9">
        <v>53</v>
      </c>
      <c r="F47" s="10">
        <v>185</v>
      </c>
      <c r="G47" s="11">
        <v>0</v>
      </c>
      <c r="H47" s="9" t="s">
        <v>27</v>
      </c>
      <c r="I47" s="9">
        <v>28</v>
      </c>
      <c r="J47" s="9" t="s">
        <v>33</v>
      </c>
      <c r="K47" s="9" t="s">
        <v>37</v>
      </c>
      <c r="L47" s="12">
        <v>4</v>
      </c>
      <c r="M47" s="10">
        <f t="shared" si="5"/>
        <v>9805</v>
      </c>
      <c r="N47" s="10">
        <f t="shared" si="6"/>
        <v>0</v>
      </c>
      <c r="O47" s="10">
        <f t="shared" si="7"/>
        <v>9805</v>
      </c>
      <c r="P47" s="22">
        <f t="shared" si="4"/>
        <v>0.63796077285868691</v>
      </c>
      <c r="Q47" s="9" t="str">
        <f t="shared" si="8"/>
        <v>No</v>
      </c>
    </row>
    <row r="48" spans="1:17" x14ac:dyDescent="0.25">
      <c r="A48" s="7">
        <v>47</v>
      </c>
      <c r="B48" s="8">
        <v>45885</v>
      </c>
      <c r="C48" s="9" t="s">
        <v>9</v>
      </c>
      <c r="D48" s="9" t="s">
        <v>22</v>
      </c>
      <c r="E48" s="9">
        <v>2</v>
      </c>
      <c r="F48" s="10">
        <v>55</v>
      </c>
      <c r="G48" s="11">
        <v>0</v>
      </c>
      <c r="H48" s="9" t="s">
        <v>25</v>
      </c>
      <c r="I48" s="9">
        <v>30</v>
      </c>
      <c r="J48" s="9" t="s">
        <v>34</v>
      </c>
      <c r="K48" s="9" t="s">
        <v>37</v>
      </c>
      <c r="L48" s="12">
        <v>1</v>
      </c>
      <c r="M48" s="10">
        <f t="shared" si="5"/>
        <v>110</v>
      </c>
      <c r="N48" s="10">
        <f t="shared" si="6"/>
        <v>0</v>
      </c>
      <c r="O48" s="10">
        <f t="shared" si="7"/>
        <v>110</v>
      </c>
      <c r="P48" s="22">
        <f t="shared" si="4"/>
        <v>-0.73747584363015084</v>
      </c>
      <c r="Q48" s="9" t="str">
        <f t="shared" si="8"/>
        <v>No</v>
      </c>
    </row>
    <row r="49" spans="1:17" x14ac:dyDescent="0.25">
      <c r="A49" s="7">
        <v>48</v>
      </c>
      <c r="B49" s="8">
        <v>45886</v>
      </c>
      <c r="C49" s="9" t="s">
        <v>10</v>
      </c>
      <c r="D49" s="9" t="s">
        <v>22</v>
      </c>
      <c r="E49" s="9">
        <v>10</v>
      </c>
      <c r="F49" s="10">
        <v>145</v>
      </c>
      <c r="G49" s="11">
        <v>0</v>
      </c>
      <c r="H49" s="9" t="s">
        <v>25</v>
      </c>
      <c r="I49" s="9">
        <v>35</v>
      </c>
      <c r="J49" s="9" t="s">
        <v>31</v>
      </c>
      <c r="K49" s="9" t="s">
        <v>35</v>
      </c>
      <c r="L49" s="12">
        <v>5</v>
      </c>
      <c r="M49" s="10">
        <f t="shared" si="5"/>
        <v>1450</v>
      </c>
      <c r="N49" s="10">
        <f t="shared" si="6"/>
        <v>0</v>
      </c>
      <c r="O49" s="10">
        <f t="shared" si="7"/>
        <v>1450</v>
      </c>
      <c r="P49" s="22">
        <f t="shared" si="4"/>
        <v>-0.54736908075289015</v>
      </c>
      <c r="Q49" s="9" t="str">
        <f t="shared" si="8"/>
        <v>No</v>
      </c>
    </row>
    <row r="50" spans="1:17" x14ac:dyDescent="0.25">
      <c r="A50" s="13">
        <v>49</v>
      </c>
      <c r="B50" s="14">
        <v>45887</v>
      </c>
      <c r="C50" s="15" t="s">
        <v>11</v>
      </c>
      <c r="D50" s="15" t="s">
        <v>22</v>
      </c>
      <c r="E50" s="15">
        <v>4</v>
      </c>
      <c r="F50" s="16">
        <v>50</v>
      </c>
      <c r="G50" s="17">
        <v>0</v>
      </c>
      <c r="H50" s="15" t="s">
        <v>25</v>
      </c>
      <c r="I50" s="15">
        <v>37</v>
      </c>
      <c r="J50" s="15" t="s">
        <v>32</v>
      </c>
      <c r="K50" s="15" t="s">
        <v>36</v>
      </c>
      <c r="L50" s="18">
        <v>5</v>
      </c>
      <c r="M50" s="16">
        <f t="shared" si="5"/>
        <v>200</v>
      </c>
      <c r="N50" s="10">
        <f t="shared" si="6"/>
        <v>0</v>
      </c>
      <c r="O50" s="10">
        <f t="shared" si="7"/>
        <v>200</v>
      </c>
      <c r="P50" s="22">
        <f t="shared" si="4"/>
        <v>-0.72470747895929</v>
      </c>
      <c r="Q50" s="9" t="str">
        <f t="shared" si="8"/>
        <v>No</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05091-9046-4D02-ACC2-63CE56B38236}">
  <dimension ref="A2:B72"/>
  <sheetViews>
    <sheetView workbookViewId="0">
      <selection activeCell="B29" sqref="B29"/>
    </sheetView>
  </sheetViews>
  <sheetFormatPr defaultRowHeight="15" x14ac:dyDescent="0.25"/>
  <cols>
    <col min="1" max="1" width="13.42578125" bestFit="1" customWidth="1"/>
    <col min="2" max="2" width="15.42578125" bestFit="1" customWidth="1"/>
    <col min="3" max="3" width="13.42578125" bestFit="1" customWidth="1"/>
    <col min="4" max="4" width="17" bestFit="1" customWidth="1"/>
  </cols>
  <sheetData>
    <row r="2" spans="1:2" x14ac:dyDescent="0.25">
      <c r="A2" s="31" t="s">
        <v>74</v>
      </c>
      <c r="B2" s="31"/>
    </row>
    <row r="3" spans="1:2" x14ac:dyDescent="0.25">
      <c r="A3" s="28" t="s">
        <v>70</v>
      </c>
      <c r="B3" t="s">
        <v>72</v>
      </c>
    </row>
    <row r="4" spans="1:2" x14ac:dyDescent="0.25">
      <c r="A4" s="21" t="s">
        <v>37</v>
      </c>
      <c r="B4" s="29">
        <v>87615</v>
      </c>
    </row>
    <row r="5" spans="1:2" x14ac:dyDescent="0.25">
      <c r="A5" s="21" t="s">
        <v>35</v>
      </c>
      <c r="B5" s="29">
        <v>87826</v>
      </c>
    </row>
    <row r="6" spans="1:2" x14ac:dyDescent="0.25">
      <c r="A6" s="21" t="s">
        <v>36</v>
      </c>
      <c r="B6" s="29">
        <v>84662</v>
      </c>
    </row>
    <row r="7" spans="1:2" x14ac:dyDescent="0.25">
      <c r="A7" s="21" t="s">
        <v>71</v>
      </c>
      <c r="B7" s="29">
        <v>260103</v>
      </c>
    </row>
    <row r="11" spans="1:2" x14ac:dyDescent="0.25">
      <c r="A11" s="31" t="s">
        <v>65</v>
      </c>
      <c r="B11" s="31"/>
    </row>
    <row r="12" spans="1:2" x14ac:dyDescent="0.25">
      <c r="A12" s="28" t="s">
        <v>70</v>
      </c>
      <c r="B12" t="s">
        <v>73</v>
      </c>
    </row>
    <row r="13" spans="1:2" x14ac:dyDescent="0.25">
      <c r="A13" s="21" t="s">
        <v>32</v>
      </c>
      <c r="B13" s="29">
        <v>8</v>
      </c>
    </row>
    <row r="14" spans="1:2" x14ac:dyDescent="0.25">
      <c r="A14" s="21" t="s">
        <v>33</v>
      </c>
      <c r="B14" s="29">
        <v>15</v>
      </c>
    </row>
    <row r="15" spans="1:2" x14ac:dyDescent="0.25">
      <c r="A15" s="21" t="s">
        <v>31</v>
      </c>
      <c r="B15" s="29">
        <v>13</v>
      </c>
    </row>
    <row r="16" spans="1:2" x14ac:dyDescent="0.25">
      <c r="A16" s="21" t="s">
        <v>34</v>
      </c>
      <c r="B16" s="29">
        <v>13</v>
      </c>
    </row>
    <row r="17" spans="1:2" x14ac:dyDescent="0.25">
      <c r="A17" s="21" t="s">
        <v>71</v>
      </c>
      <c r="B17" s="29">
        <v>49</v>
      </c>
    </row>
    <row r="22" spans="1:2" x14ac:dyDescent="0.25">
      <c r="A22" s="28" t="s">
        <v>70</v>
      </c>
      <c r="B22" t="s">
        <v>72</v>
      </c>
    </row>
    <row r="23" spans="1:2" x14ac:dyDescent="0.25">
      <c r="A23" s="30">
        <v>1</v>
      </c>
      <c r="B23" s="29">
        <v>110</v>
      </c>
    </row>
    <row r="24" spans="1:2" x14ac:dyDescent="0.25">
      <c r="A24" s="30">
        <v>2</v>
      </c>
      <c r="B24" s="29">
        <v>1450</v>
      </c>
    </row>
    <row r="25" spans="1:2" x14ac:dyDescent="0.25">
      <c r="A25" s="30">
        <v>3</v>
      </c>
      <c r="B25" s="29">
        <v>200</v>
      </c>
    </row>
    <row r="26" spans="1:2" x14ac:dyDescent="0.25">
      <c r="A26" s="30">
        <v>4</v>
      </c>
      <c r="B26" s="29">
        <v>1296</v>
      </c>
    </row>
    <row r="27" spans="1:2" x14ac:dyDescent="0.25">
      <c r="A27" s="30">
        <v>5</v>
      </c>
      <c r="B27" s="29">
        <v>19000</v>
      </c>
    </row>
    <row r="28" spans="1:2" x14ac:dyDescent="0.25">
      <c r="A28" s="30">
        <v>6</v>
      </c>
      <c r="B28" s="29">
        <v>1100</v>
      </c>
    </row>
    <row r="29" spans="1:2" x14ac:dyDescent="0.25">
      <c r="A29" s="30">
        <v>7</v>
      </c>
      <c r="B29" s="29">
        <v>9805</v>
      </c>
    </row>
    <row r="30" spans="1:2" x14ac:dyDescent="0.25">
      <c r="A30" s="30">
        <v>8</v>
      </c>
      <c r="B30" s="29">
        <v>8455</v>
      </c>
    </row>
    <row r="31" spans="1:2" x14ac:dyDescent="0.25">
      <c r="A31" s="30">
        <v>9</v>
      </c>
      <c r="B31" s="29">
        <v>20</v>
      </c>
    </row>
    <row r="32" spans="1:2" x14ac:dyDescent="0.25">
      <c r="A32" s="30">
        <v>10</v>
      </c>
      <c r="B32" s="29">
        <v>198</v>
      </c>
    </row>
    <row r="33" spans="1:2" x14ac:dyDescent="0.25">
      <c r="A33" s="30">
        <v>11</v>
      </c>
      <c r="B33" s="29">
        <v>1330</v>
      </c>
    </row>
    <row r="34" spans="1:2" x14ac:dyDescent="0.25">
      <c r="A34" s="30">
        <v>12</v>
      </c>
      <c r="B34" s="29">
        <v>21340</v>
      </c>
    </row>
    <row r="35" spans="1:2" x14ac:dyDescent="0.25">
      <c r="A35" s="30">
        <v>13</v>
      </c>
      <c r="B35" s="29">
        <v>2070</v>
      </c>
    </row>
    <row r="36" spans="1:2" x14ac:dyDescent="0.25">
      <c r="A36" s="30">
        <v>14</v>
      </c>
      <c r="B36" s="29">
        <v>3000</v>
      </c>
    </row>
    <row r="37" spans="1:2" x14ac:dyDescent="0.25">
      <c r="A37" s="30">
        <v>15</v>
      </c>
      <c r="B37" s="29">
        <v>23100</v>
      </c>
    </row>
    <row r="38" spans="1:2" x14ac:dyDescent="0.25">
      <c r="A38" s="30">
        <v>16</v>
      </c>
      <c r="B38" s="29">
        <v>9805</v>
      </c>
    </row>
    <row r="39" spans="1:2" x14ac:dyDescent="0.25">
      <c r="A39" s="30">
        <v>17</v>
      </c>
      <c r="B39" s="29">
        <v>190</v>
      </c>
    </row>
    <row r="40" spans="1:2" x14ac:dyDescent="0.25">
      <c r="A40" s="30">
        <v>18</v>
      </c>
      <c r="B40" s="29">
        <v>1850</v>
      </c>
    </row>
    <row r="41" spans="1:2" x14ac:dyDescent="0.25">
      <c r="A41" s="30">
        <v>19</v>
      </c>
      <c r="B41" s="29">
        <v>380</v>
      </c>
    </row>
    <row r="42" spans="1:2" x14ac:dyDescent="0.25">
      <c r="A42" s="30">
        <v>20</v>
      </c>
      <c r="B42" s="29">
        <v>480</v>
      </c>
    </row>
    <row r="43" spans="1:2" x14ac:dyDescent="0.25">
      <c r="A43" s="30">
        <v>21</v>
      </c>
      <c r="B43" s="29">
        <v>7524</v>
      </c>
    </row>
    <row r="44" spans="1:2" x14ac:dyDescent="0.25">
      <c r="A44" s="30">
        <v>22</v>
      </c>
      <c r="B44" s="29">
        <v>1330</v>
      </c>
    </row>
    <row r="45" spans="1:2" x14ac:dyDescent="0.25">
      <c r="A45" s="30">
        <v>23</v>
      </c>
      <c r="B45" s="29">
        <v>4850</v>
      </c>
    </row>
    <row r="46" spans="1:2" x14ac:dyDescent="0.25">
      <c r="A46" s="30">
        <v>24</v>
      </c>
      <c r="B46" s="29">
        <v>1242</v>
      </c>
    </row>
    <row r="47" spans="1:2" x14ac:dyDescent="0.25">
      <c r="A47" s="30">
        <v>25</v>
      </c>
      <c r="B47" s="29">
        <v>3000</v>
      </c>
    </row>
    <row r="48" spans="1:2" x14ac:dyDescent="0.25">
      <c r="A48" s="30">
        <v>26</v>
      </c>
      <c r="B48" s="29">
        <v>23100</v>
      </c>
    </row>
    <row r="49" spans="1:2" x14ac:dyDescent="0.25">
      <c r="A49" s="30">
        <v>27</v>
      </c>
      <c r="B49" s="29">
        <v>9805</v>
      </c>
    </row>
    <row r="50" spans="1:2" x14ac:dyDescent="0.25">
      <c r="A50" s="30">
        <v>28</v>
      </c>
      <c r="B50" s="29">
        <v>190</v>
      </c>
    </row>
    <row r="51" spans="1:2" x14ac:dyDescent="0.25">
      <c r="A51" s="30">
        <v>29</v>
      </c>
      <c r="B51" s="29">
        <v>550</v>
      </c>
    </row>
    <row r="52" spans="1:2" x14ac:dyDescent="0.25">
      <c r="A52" s="30">
        <v>30</v>
      </c>
      <c r="B52" s="29">
        <v>580</v>
      </c>
    </row>
    <row r="53" spans="1:2" x14ac:dyDescent="0.25">
      <c r="A53" s="30">
        <v>31</v>
      </c>
      <c r="B53" s="29">
        <v>1200</v>
      </c>
    </row>
    <row r="54" spans="1:2" x14ac:dyDescent="0.25">
      <c r="A54" s="30">
        <v>32</v>
      </c>
      <c r="B54" s="29">
        <v>4104</v>
      </c>
    </row>
    <row r="55" spans="1:2" x14ac:dyDescent="0.25">
      <c r="A55" s="30">
        <v>33</v>
      </c>
      <c r="B55" s="29">
        <v>40</v>
      </c>
    </row>
    <row r="56" spans="1:2" x14ac:dyDescent="0.25">
      <c r="A56" s="30">
        <v>34</v>
      </c>
      <c r="B56" s="29">
        <v>5247</v>
      </c>
    </row>
    <row r="57" spans="1:2" x14ac:dyDescent="0.25">
      <c r="A57" s="30">
        <v>35</v>
      </c>
      <c r="B57" s="29">
        <v>4180</v>
      </c>
    </row>
    <row r="58" spans="1:2" x14ac:dyDescent="0.25">
      <c r="A58" s="30">
        <v>36</v>
      </c>
      <c r="B58" s="29">
        <v>440</v>
      </c>
    </row>
    <row r="59" spans="1:2" x14ac:dyDescent="0.25">
      <c r="A59" s="30">
        <v>37</v>
      </c>
      <c r="B59" s="29">
        <v>950</v>
      </c>
    </row>
    <row r="60" spans="1:2" x14ac:dyDescent="0.25">
      <c r="A60" s="30">
        <v>38</v>
      </c>
      <c r="B60" s="29">
        <v>880</v>
      </c>
    </row>
    <row r="61" spans="1:2" x14ac:dyDescent="0.25">
      <c r="A61" s="30">
        <v>39</v>
      </c>
      <c r="B61" s="29">
        <v>2160</v>
      </c>
    </row>
    <row r="62" spans="1:2" x14ac:dyDescent="0.25">
      <c r="A62" s="30">
        <v>40</v>
      </c>
      <c r="B62" s="29">
        <v>19000</v>
      </c>
    </row>
    <row r="63" spans="1:2" x14ac:dyDescent="0.25">
      <c r="A63" s="30">
        <v>41</v>
      </c>
      <c r="B63" s="29">
        <v>7700</v>
      </c>
    </row>
    <row r="64" spans="1:2" x14ac:dyDescent="0.25">
      <c r="A64" s="30">
        <v>42</v>
      </c>
      <c r="B64" s="29">
        <v>17945</v>
      </c>
    </row>
    <row r="65" spans="1:2" x14ac:dyDescent="0.25">
      <c r="A65" s="30">
        <v>43</v>
      </c>
      <c r="B65" s="29">
        <v>1242</v>
      </c>
    </row>
    <row r="66" spans="1:2" x14ac:dyDescent="0.25">
      <c r="A66" s="30">
        <v>44</v>
      </c>
      <c r="B66" s="29">
        <v>3000</v>
      </c>
    </row>
    <row r="67" spans="1:2" x14ac:dyDescent="0.25">
      <c r="A67" s="30">
        <v>45</v>
      </c>
      <c r="B67" s="29">
        <v>23100</v>
      </c>
    </row>
    <row r="68" spans="1:2" x14ac:dyDescent="0.25">
      <c r="A68" s="30">
        <v>46</v>
      </c>
      <c r="B68" s="29">
        <v>9805</v>
      </c>
    </row>
    <row r="69" spans="1:2" x14ac:dyDescent="0.25">
      <c r="A69" s="30">
        <v>47</v>
      </c>
      <c r="B69" s="29">
        <v>110</v>
      </c>
    </row>
    <row r="70" spans="1:2" x14ac:dyDescent="0.25">
      <c r="A70" s="30">
        <v>48</v>
      </c>
      <c r="B70" s="29">
        <v>1450</v>
      </c>
    </row>
    <row r="71" spans="1:2" x14ac:dyDescent="0.25">
      <c r="A71" s="30">
        <v>49</v>
      </c>
      <c r="B71" s="29">
        <v>200</v>
      </c>
    </row>
    <row r="72" spans="1:2" x14ac:dyDescent="0.25">
      <c r="A72" s="30" t="s">
        <v>71</v>
      </c>
      <c r="B72" s="29">
        <v>260103</v>
      </c>
    </row>
  </sheetData>
  <mergeCells count="2">
    <mergeCell ref="A11:B1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B81E-89B6-4345-B0AC-ECD10A45A93D}">
  <dimension ref="A1"/>
  <sheetViews>
    <sheetView zoomScale="70" zoomScaleNormal="70"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8947-348D-43EB-930F-857097F4B95A}">
  <dimension ref="A1:P54"/>
  <sheetViews>
    <sheetView topLeftCell="A39" workbookViewId="0">
      <selection activeCell="B57" sqref="B57"/>
    </sheetView>
  </sheetViews>
  <sheetFormatPr defaultRowHeight="15" x14ac:dyDescent="0.25"/>
  <cols>
    <col min="1" max="1" width="28.85546875" bestFit="1" customWidth="1"/>
    <col min="2" max="2" width="16.85546875" bestFit="1" customWidth="1"/>
    <col min="3" max="3" width="8.5703125" bestFit="1" customWidth="1"/>
  </cols>
  <sheetData>
    <row r="1" spans="1:16" x14ac:dyDescent="0.25">
      <c r="A1" s="20" t="s">
        <v>41</v>
      </c>
      <c r="B1" s="20" t="s">
        <v>42</v>
      </c>
      <c r="D1" s="34" t="s">
        <v>51</v>
      </c>
      <c r="E1" s="34"/>
      <c r="F1" s="34"/>
      <c r="G1" s="34"/>
      <c r="H1" s="34"/>
      <c r="I1" s="34"/>
      <c r="J1" s="34"/>
      <c r="K1" s="34"/>
      <c r="L1" s="34"/>
      <c r="P1" t="s">
        <v>54</v>
      </c>
    </row>
    <row r="2" spans="1:16" x14ac:dyDescent="0.25">
      <c r="A2" s="9" t="s">
        <v>43</v>
      </c>
      <c r="B2" s="19">
        <f>AVERAGE('Raw Data-Cafe Orders'!O2:O51)</f>
        <v>5308.2244897959181</v>
      </c>
      <c r="P2" t="e">
        <f>(O2-AVERAGE(O$2:O$51))/_xlfn.STDEV.P(O$2:O$51)</f>
        <v>#DIV/0!</v>
      </c>
    </row>
    <row r="3" spans="1:16" x14ac:dyDescent="0.25">
      <c r="A3" s="9" t="s">
        <v>44</v>
      </c>
      <c r="B3" s="19">
        <f>AVERAGE(CafeOrders[Quantity])</f>
        <v>29.571428571428573</v>
      </c>
    </row>
    <row r="4" spans="1:16" x14ac:dyDescent="0.25">
      <c r="A4" s="9" t="s">
        <v>45</v>
      </c>
      <c r="B4" s="19">
        <f>AVERAGE(CafeOrders[Customer Age])</f>
        <v>26.938775510204081</v>
      </c>
    </row>
    <row r="5" spans="1:16" x14ac:dyDescent="0.25">
      <c r="A5" s="9" t="s">
        <v>46</v>
      </c>
      <c r="B5" s="19">
        <f>AVERAGE(CafeOrders[Feedback Rating])</f>
        <v>3.2653061224489797</v>
      </c>
    </row>
    <row r="6" spans="1:16" x14ac:dyDescent="0.25">
      <c r="A6" s="9" t="s">
        <v>47</v>
      </c>
      <c r="B6" s="19">
        <f>AVERAGE(CafeOrders[Discount(%)])</f>
        <v>4.3877551020408161</v>
      </c>
      <c r="H6" s="21"/>
    </row>
    <row r="7" spans="1:16" x14ac:dyDescent="0.25">
      <c r="A7" s="9" t="s">
        <v>48</v>
      </c>
      <c r="B7" s="19">
        <f>MAX(CafeOrders[Final Bill])</f>
        <v>23100</v>
      </c>
    </row>
    <row r="8" spans="1:16" x14ac:dyDescent="0.25">
      <c r="A8" s="9" t="s">
        <v>49</v>
      </c>
      <c r="B8" s="19">
        <f>MIN(CafeOrders[Final Bill])</f>
        <v>20</v>
      </c>
    </row>
    <row r="9" spans="1:16" x14ac:dyDescent="0.25">
      <c r="A9" s="20" t="s">
        <v>50</v>
      </c>
      <c r="B9" s="25">
        <f>COUNTA(CafeOrders[Order ID])</f>
        <v>49</v>
      </c>
    </row>
    <row r="14" spans="1:16" x14ac:dyDescent="0.25">
      <c r="A14" s="35" t="s">
        <v>65</v>
      </c>
      <c r="B14" s="35"/>
    </row>
    <row r="15" spans="1:16" x14ac:dyDescent="0.25">
      <c r="A15" s="20" t="s">
        <v>52</v>
      </c>
      <c r="B15" s="20" t="s">
        <v>53</v>
      </c>
    </row>
    <row r="16" spans="1:16" x14ac:dyDescent="0.25">
      <c r="A16" s="9" t="s">
        <v>31</v>
      </c>
      <c r="B16" s="9">
        <f>COUNTIF(CafeOrders[Time of Order], "Morning")</f>
        <v>13</v>
      </c>
    </row>
    <row r="17" spans="1:5" x14ac:dyDescent="0.25">
      <c r="A17" s="9" t="s">
        <v>32</v>
      </c>
      <c r="B17" s="9">
        <f>COUNTIF(CafeOrders[Time of Order], "Afternoon")</f>
        <v>8</v>
      </c>
    </row>
    <row r="18" spans="1:5" x14ac:dyDescent="0.25">
      <c r="A18" s="9" t="s">
        <v>33</v>
      </c>
      <c r="B18" s="9">
        <f>COUNTIF(CafeOrders[Time of Order], "Evening")</f>
        <v>15</v>
      </c>
    </row>
    <row r="19" spans="1:5" x14ac:dyDescent="0.25">
      <c r="A19" s="9" t="s">
        <v>34</v>
      </c>
      <c r="B19" s="9">
        <f>COUNTIF(CafeOrders[Time of Order], "Night")</f>
        <v>13</v>
      </c>
    </row>
    <row r="20" spans="1:5" x14ac:dyDescent="0.25">
      <c r="A20" s="23" t="s">
        <v>55</v>
      </c>
      <c r="B20" s="26">
        <f>_xlfn.STDEV.P(CafeOrders[Final Bill])</f>
        <v>7048.6708611473696</v>
      </c>
      <c r="C20" s="36" t="s">
        <v>56</v>
      </c>
      <c r="D20" s="32"/>
      <c r="E20" s="32"/>
    </row>
    <row r="24" spans="1:5" x14ac:dyDescent="0.25">
      <c r="A24" s="37" t="s">
        <v>60</v>
      </c>
      <c r="B24" s="37"/>
    </row>
    <row r="25" spans="1:5" x14ac:dyDescent="0.25">
      <c r="A25" s="20" t="s">
        <v>57</v>
      </c>
      <c r="B25" s="20" t="s">
        <v>40</v>
      </c>
      <c r="C25" s="24"/>
    </row>
    <row r="26" spans="1:5" x14ac:dyDescent="0.25">
      <c r="A26" s="9">
        <v>1</v>
      </c>
      <c r="B26" s="9">
        <f>LARGE(CafeOrders[Final Bill],1)</f>
        <v>23100</v>
      </c>
    </row>
    <row r="27" spans="1:5" x14ac:dyDescent="0.25">
      <c r="A27" s="9">
        <v>2</v>
      </c>
      <c r="B27" s="9">
        <f>LARGE(CafeOrders[Final Bill],2)</f>
        <v>23100</v>
      </c>
    </row>
    <row r="28" spans="1:5" x14ac:dyDescent="0.25">
      <c r="A28" s="9">
        <v>3</v>
      </c>
      <c r="B28" s="9">
        <f>LARGE(CafeOrders[Final Bill],3)</f>
        <v>23100</v>
      </c>
    </row>
    <row r="29" spans="1:5" x14ac:dyDescent="0.25">
      <c r="A29" s="9">
        <v>4</v>
      </c>
      <c r="B29" s="9">
        <f>LARGE(CafeOrders[Final Bill],4)</f>
        <v>21340</v>
      </c>
    </row>
    <row r="30" spans="1:5" x14ac:dyDescent="0.25">
      <c r="A30" s="9">
        <v>5</v>
      </c>
      <c r="B30" s="9">
        <f>LARGE(CafeOrders[Final Bill],5)</f>
        <v>19000</v>
      </c>
    </row>
    <row r="34" spans="1:8" x14ac:dyDescent="0.25">
      <c r="A34" s="35" t="s">
        <v>59</v>
      </c>
      <c r="B34" s="35"/>
    </row>
    <row r="35" spans="1:8" x14ac:dyDescent="0.25">
      <c r="A35" s="26" t="s">
        <v>58</v>
      </c>
      <c r="B35" s="26" t="s">
        <v>43</v>
      </c>
    </row>
    <row r="36" spans="1:8" x14ac:dyDescent="0.25">
      <c r="A36" s="9" t="s">
        <v>31</v>
      </c>
      <c r="B36" s="9">
        <f>AVERAGEIF(CafeOrders[Time of Order], "Morning", CafeOrders[Final Bill])</f>
        <v>3974.3846153846152</v>
      </c>
      <c r="H36" s="27"/>
    </row>
    <row r="37" spans="1:8" x14ac:dyDescent="0.25">
      <c r="A37" s="9" t="s">
        <v>32</v>
      </c>
      <c r="B37" s="9">
        <f>AVERAGEIF(CafeOrders[Time of Order], "Afternoon", CafeOrders[Final Bill])</f>
        <v>4854.375</v>
      </c>
    </row>
    <row r="38" spans="1:8" x14ac:dyDescent="0.25">
      <c r="A38" s="9" t="s">
        <v>33</v>
      </c>
      <c r="B38" s="9">
        <f>AVERAGEIF(CafeOrders[Time of Order], "Evening", CafeOrders[Final Bill])</f>
        <v>6767.2</v>
      </c>
    </row>
    <row r="39" spans="1:8" x14ac:dyDescent="0.25">
      <c r="A39" s="9" t="s">
        <v>34</v>
      </c>
      <c r="B39" s="9">
        <f>AVERAGEIF(CafeOrders[Time of Order], "Night", CafeOrders[Final Bill])</f>
        <v>5237.9230769230771</v>
      </c>
    </row>
    <row r="44" spans="1:8" x14ac:dyDescent="0.25">
      <c r="A44" s="35" t="s">
        <v>61</v>
      </c>
      <c r="B44" s="35"/>
    </row>
    <row r="45" spans="1:8" x14ac:dyDescent="0.25">
      <c r="A45" s="9" t="s">
        <v>62</v>
      </c>
      <c r="B45" s="9">
        <f>CORREL(CafeOrders[Customer Age],  CafeOrders[Final Bill])</f>
        <v>-0.11081254547032297</v>
      </c>
      <c r="C45" s="32" t="s">
        <v>63</v>
      </c>
      <c r="D45" s="32"/>
      <c r="E45" s="32"/>
    </row>
    <row r="46" spans="1:8" x14ac:dyDescent="0.25">
      <c r="A46" s="33" t="s">
        <v>64</v>
      </c>
      <c r="B46" s="34"/>
      <c r="C46" s="34"/>
      <c r="D46" s="34"/>
      <c r="E46" s="34"/>
      <c r="F46" s="34"/>
      <c r="G46" s="34"/>
      <c r="H46" s="34"/>
    </row>
    <row r="47" spans="1:8" x14ac:dyDescent="0.25">
      <c r="A47" s="34"/>
      <c r="B47" s="34"/>
      <c r="C47" s="34"/>
      <c r="D47" s="34"/>
      <c r="E47" s="34"/>
      <c r="F47" s="34"/>
      <c r="G47" s="34"/>
      <c r="H47" s="34"/>
    </row>
    <row r="48" spans="1:8" x14ac:dyDescent="0.25">
      <c r="A48" s="34"/>
      <c r="B48" s="34"/>
      <c r="C48" s="34"/>
      <c r="D48" s="34"/>
      <c r="E48" s="34"/>
      <c r="F48" s="34"/>
      <c r="G48" s="34"/>
      <c r="H48" s="34"/>
    </row>
    <row r="50" spans="1:15" x14ac:dyDescent="0.25">
      <c r="A50" s="35" t="s">
        <v>66</v>
      </c>
      <c r="B50" s="35"/>
    </row>
    <row r="51" spans="1:15" x14ac:dyDescent="0.25">
      <c r="A51" s="20" t="s">
        <v>67</v>
      </c>
      <c r="B51" s="20" t="s">
        <v>68</v>
      </c>
      <c r="O51">
        <v>454</v>
      </c>
    </row>
    <row r="52" spans="1:15" x14ac:dyDescent="0.25">
      <c r="A52" s="9" t="s">
        <v>35</v>
      </c>
      <c r="B52" s="9">
        <f>COUNTIF(CafeOrders[Order Type], "Dine-In")</f>
        <v>14</v>
      </c>
    </row>
    <row r="53" spans="1:15" x14ac:dyDescent="0.25">
      <c r="A53" s="9" t="s">
        <v>69</v>
      </c>
      <c r="B53" s="9">
        <f>COUNTIF(CafeOrders[Order Type], "Take-away")</f>
        <v>15</v>
      </c>
    </row>
    <row r="54" spans="1:15" x14ac:dyDescent="0.25">
      <c r="A54" s="9" t="s">
        <v>37</v>
      </c>
      <c r="B54" s="9">
        <f>COUNTIF(CafeOrders[Order Type], "Delivery")</f>
        <v>20</v>
      </c>
    </row>
  </sheetData>
  <mergeCells count="9">
    <mergeCell ref="C45:E45"/>
    <mergeCell ref="A46:H48"/>
    <mergeCell ref="A14:B14"/>
    <mergeCell ref="A50:B50"/>
    <mergeCell ref="D1:L1"/>
    <mergeCell ref="C20:E20"/>
    <mergeCell ref="A34:B34"/>
    <mergeCell ref="A24:B24"/>
    <mergeCell ref="A44:B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Raw Data-Cafe Orders</vt:lpstr>
      <vt:lpstr>Pivot Table Sheet</vt:lpstr>
      <vt:lpstr>Manual Charts</vt:lpstr>
      <vt:lpstr>Stats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Charu bhardwaj</dc:creator>
  <cp:lastModifiedBy>Charu bhardwaj</cp:lastModifiedBy>
  <dcterms:created xsi:type="dcterms:W3CDTF">2025-07-05T12:13:06Z</dcterms:created>
  <dcterms:modified xsi:type="dcterms:W3CDTF">2025-07-13T12:26:45Z</dcterms:modified>
</cp:coreProperties>
</file>