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
    </mc:Choice>
  </mc:AlternateContent>
  <xr:revisionPtr revIDLastSave="0" documentId="13_ncr:1_{C83FBBF5-2B33-4F59-8984-ACC0D3914EE3}" xr6:coauthVersionLast="41" xr6:coauthVersionMax="41" xr10:uidLastSave="{00000000-0000-0000-0000-000000000000}"/>
  <bookViews>
    <workbookView xWindow="-120" yWindow="-120" windowWidth="29040" windowHeight="17640" xr2:uid="{677B8E39-54C8-4485-BF53-BAA3D85EEC79}"/>
  </bookViews>
  <sheets>
    <sheet name="Sheet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O10" i="1" s="1"/>
  <c r="P10" i="1" s="1"/>
  <c r="Q10" i="1" s="1"/>
  <c r="R10" i="1" s="1"/>
  <c r="S10" i="1" s="1"/>
  <c r="K7" i="1"/>
  <c r="L7" i="1"/>
  <c r="M7" i="1"/>
  <c r="N7" i="1" s="1"/>
  <c r="K23" i="1"/>
  <c r="L23" i="1" s="1"/>
  <c r="M23" i="1" s="1"/>
  <c r="N23" i="1" s="1"/>
  <c r="G13" i="1"/>
  <c r="F85" i="1"/>
  <c r="G85" i="1" s="1"/>
  <c r="H85" i="1" s="1"/>
  <c r="I85" i="1" s="1"/>
  <c r="J85" i="1" s="1"/>
  <c r="K85" i="1" s="1"/>
  <c r="L85" i="1" s="1"/>
  <c r="M85" i="1" s="1"/>
  <c r="N85" i="1" s="1"/>
  <c r="O85" i="1" s="1"/>
  <c r="P85" i="1" s="1"/>
  <c r="Q85" i="1" s="1"/>
  <c r="R85" i="1" s="1"/>
  <c r="S85" i="1" s="1"/>
  <c r="F86" i="1"/>
  <c r="G86" i="1" s="1"/>
  <c r="H86" i="1" s="1"/>
  <c r="I86" i="1" s="1"/>
  <c r="J86" i="1" s="1"/>
  <c r="K86" i="1" s="1"/>
  <c r="L86" i="1" s="1"/>
  <c r="M86" i="1" s="1"/>
  <c r="N86" i="1" s="1"/>
  <c r="O86" i="1" s="1"/>
  <c r="F54" i="1" l="1"/>
  <c r="F53" i="1"/>
  <c r="F67" i="1" l="1"/>
  <c r="G67" i="1" s="1"/>
  <c r="H67" i="1" s="1"/>
  <c r="I67" i="1" s="1"/>
  <c r="J67" i="1" s="1"/>
  <c r="E61" i="1"/>
  <c r="F23" i="1"/>
  <c r="G23" i="1" s="1"/>
  <c r="E104" i="1"/>
  <c r="F100" i="1"/>
  <c r="G100" i="1"/>
  <c r="G105" i="1" s="1"/>
  <c r="H100" i="1"/>
  <c r="H105" i="1" s="1"/>
  <c r="I100" i="1"/>
  <c r="I105" i="1" s="1"/>
  <c r="J100" i="1"/>
  <c r="J105" i="1" s="1"/>
  <c r="K100" i="1"/>
  <c r="K105" i="1" s="1"/>
  <c r="L100" i="1"/>
  <c r="L105" i="1" s="1"/>
  <c r="M100" i="1"/>
  <c r="M105" i="1" s="1"/>
  <c r="E100" i="1"/>
  <c r="E105" i="1" s="1"/>
  <c r="E106" i="1" l="1"/>
  <c r="F104" i="1"/>
  <c r="F105" i="1"/>
  <c r="K67" i="1"/>
  <c r="F106" i="1" l="1"/>
  <c r="F70" i="1" s="1"/>
  <c r="G104" i="1"/>
  <c r="L67" i="1"/>
  <c r="G106" i="1" l="1"/>
  <c r="G70" i="1" s="1"/>
  <c r="H104" i="1"/>
  <c r="M67" i="1"/>
  <c r="I104" i="1" l="1"/>
  <c r="H106" i="1"/>
  <c r="H70" i="1" s="1"/>
  <c r="N67" i="1"/>
  <c r="J104" i="1" l="1"/>
  <c r="I106" i="1"/>
  <c r="I70" i="1" s="1"/>
  <c r="O67" i="1"/>
  <c r="J106" i="1" l="1"/>
  <c r="J70" i="1" s="1"/>
  <c r="K104" i="1"/>
  <c r="P67" i="1"/>
  <c r="K106" i="1" l="1"/>
  <c r="K70" i="1" s="1"/>
  <c r="L104" i="1"/>
  <c r="Q67" i="1"/>
  <c r="M104" i="1" l="1"/>
  <c r="M106" i="1" s="1"/>
  <c r="M70" i="1" s="1"/>
  <c r="N70" i="1" s="1"/>
  <c r="O70" i="1" s="1"/>
  <c r="P70" i="1" s="1"/>
  <c r="Q70" i="1" s="1"/>
  <c r="R70" i="1" s="1"/>
  <c r="S70" i="1" s="1"/>
  <c r="L106" i="1"/>
  <c r="L70" i="1" s="1"/>
  <c r="R67" i="1"/>
  <c r="S67" i="1" l="1"/>
  <c r="O7" i="1" l="1"/>
  <c r="P7" i="1" s="1"/>
  <c r="Q7" i="1" s="1"/>
  <c r="R7" i="1" s="1"/>
  <c r="S7" i="1" s="1"/>
  <c r="G14" i="1"/>
  <c r="H14" i="1" s="1"/>
  <c r="I14" i="1" s="1"/>
  <c r="J14" i="1" s="1"/>
  <c r="L14" i="1"/>
  <c r="M14" i="1" s="1"/>
  <c r="N14" i="1" s="1"/>
  <c r="O14" i="1" s="1"/>
  <c r="P14" i="1" s="1"/>
  <c r="Q14" i="1" s="1"/>
  <c r="R14" i="1" s="1"/>
  <c r="S14" i="1" s="1"/>
  <c r="L18" i="1" l="1"/>
  <c r="H12" i="1"/>
  <c r="G12" i="1"/>
  <c r="M18" i="1" l="1"/>
  <c r="N18" i="1" l="1"/>
  <c r="O18" i="1" l="1"/>
  <c r="P18" i="1" l="1"/>
  <c r="Q18" i="1" l="1"/>
  <c r="R18" i="1" l="1"/>
  <c r="S18" i="1" l="1"/>
  <c r="F4" i="1" l="1"/>
  <c r="G10" i="1" l="1"/>
  <c r="K11" i="1" l="1"/>
  <c r="O11" i="1" s="1"/>
  <c r="S11" i="1" s="1"/>
  <c r="W11" i="1" s="1"/>
  <c r="J11" i="1"/>
  <c r="N11" i="1" s="1"/>
  <c r="R11" i="1" s="1"/>
  <c r="V11" i="1" s="1"/>
  <c r="I11" i="1"/>
  <c r="M11" i="1" s="1"/>
  <c r="Q11" i="1" s="1"/>
  <c r="U11" i="1" s="1"/>
  <c r="H11" i="1"/>
  <c r="L11" i="1" s="1"/>
  <c r="P11" i="1" s="1"/>
  <c r="T11" i="1" s="1"/>
  <c r="G54" i="1" l="1"/>
  <c r="H54" i="1" s="1"/>
  <c r="I54" i="1" s="1"/>
  <c r="J54" i="1" s="1"/>
  <c r="K54" i="1" s="1"/>
  <c r="L54" i="1" s="1"/>
  <c r="M54" i="1" s="1"/>
  <c r="N54" i="1" s="1"/>
  <c r="O54" i="1" s="1"/>
  <c r="P54" i="1" s="1"/>
  <c r="Q54" i="1" s="1"/>
  <c r="R54" i="1" s="1"/>
  <c r="S54" i="1" s="1"/>
  <c r="G53" i="1"/>
  <c r="H10" i="1"/>
  <c r="I10" i="1"/>
  <c r="J10" i="1"/>
  <c r="K10" i="1"/>
  <c r="L10" i="1"/>
  <c r="L12" i="1" s="1"/>
  <c r="M10" i="1"/>
  <c r="M12" i="1" s="1"/>
  <c r="N12" i="1"/>
  <c r="I12" i="1"/>
  <c r="J12" i="1"/>
  <c r="K12" i="1"/>
  <c r="H13" i="1"/>
  <c r="I13" i="1"/>
  <c r="J13" i="1"/>
  <c r="K13" i="1" s="1"/>
  <c r="L13" i="1" s="1"/>
  <c r="M13" i="1" s="1"/>
  <c r="N13" i="1" s="1"/>
  <c r="O13" i="1" s="1"/>
  <c r="P13" i="1" s="1"/>
  <c r="Q13" i="1" s="1"/>
  <c r="R13" i="1" s="1"/>
  <c r="S13" i="1" s="1"/>
  <c r="T13" i="1" s="1"/>
  <c r="U13" i="1" s="1"/>
  <c r="V13" i="1" s="1"/>
  <c r="W13" i="1" s="1"/>
  <c r="F28" i="1"/>
  <c r="G28" i="1" s="1"/>
  <c r="G43" i="1" s="1"/>
  <c r="G4" i="1"/>
  <c r="K40" i="1"/>
  <c r="L40" i="1" s="1"/>
  <c r="M40" i="1" s="1"/>
  <c r="N40" i="1" s="1"/>
  <c r="O40" i="1" s="1"/>
  <c r="P40" i="1" s="1"/>
  <c r="Q40" i="1" s="1"/>
  <c r="F65" i="1"/>
  <c r="G65" i="1" s="1"/>
  <c r="H65" i="1" s="1"/>
  <c r="I65" i="1" s="1"/>
  <c r="J65" i="1" s="1"/>
  <c r="K65" i="1" s="1"/>
  <c r="L65" i="1" s="1"/>
  <c r="M65" i="1" s="1"/>
  <c r="N65" i="1" s="1"/>
  <c r="O65" i="1" s="1"/>
  <c r="P65" i="1" s="1"/>
  <c r="Q65" i="1" s="1"/>
  <c r="R65" i="1" s="1"/>
  <c r="S65" i="1" s="1"/>
  <c r="E77" i="1"/>
  <c r="E81" i="1" s="1"/>
  <c r="E88" i="1" s="1"/>
  <c r="F60" i="1"/>
  <c r="G60" i="1" s="1"/>
  <c r="H60" i="1" s="1"/>
  <c r="I60" i="1" s="1"/>
  <c r="J60" i="1" s="1"/>
  <c r="K60" i="1" s="1"/>
  <c r="L60" i="1" s="1"/>
  <c r="M60" i="1" s="1"/>
  <c r="N60" i="1" s="1"/>
  <c r="O60" i="1" s="1"/>
  <c r="P60" i="1" s="1"/>
  <c r="Q60" i="1" s="1"/>
  <c r="R60" i="1" s="1"/>
  <c r="S60" i="1" s="1"/>
  <c r="F61" i="1"/>
  <c r="G61" i="1" s="1"/>
  <c r="H61" i="1" s="1"/>
  <c r="I61" i="1" s="1"/>
  <c r="J61" i="1" s="1"/>
  <c r="K61" i="1" s="1"/>
  <c r="L61" i="1" s="1"/>
  <c r="M61" i="1" s="1"/>
  <c r="N61" i="1" s="1"/>
  <c r="O61" i="1" s="1"/>
  <c r="P61" i="1" s="1"/>
  <c r="Q61" i="1" s="1"/>
  <c r="R61" i="1" s="1"/>
  <c r="S61" i="1" s="1"/>
  <c r="F59" i="1"/>
  <c r="G59" i="1" s="1"/>
  <c r="H59" i="1" s="1"/>
  <c r="I59" i="1" s="1"/>
  <c r="J59" i="1" s="1"/>
  <c r="K59" i="1" s="1"/>
  <c r="L59" i="1" s="1"/>
  <c r="M59" i="1" s="1"/>
  <c r="N59" i="1" s="1"/>
  <c r="O59" i="1" s="1"/>
  <c r="P59" i="1" s="1"/>
  <c r="Q59" i="1" s="1"/>
  <c r="R59" i="1" s="1"/>
  <c r="S59" i="1" s="1"/>
  <c r="E56" i="1"/>
  <c r="H47" i="1"/>
  <c r="I47" i="1" s="1"/>
  <c r="K47" i="1"/>
  <c r="L47" i="1" s="1"/>
  <c r="M47" i="1" s="1"/>
  <c r="N47" i="1" s="1"/>
  <c r="E43" i="1"/>
  <c r="E21" i="1"/>
  <c r="E31" i="1" s="1"/>
  <c r="E48" i="1" s="1"/>
  <c r="F26" i="1"/>
  <c r="D5" i="1"/>
  <c r="D4" i="1"/>
  <c r="O23" i="1"/>
  <c r="P23" i="1" s="1"/>
  <c r="Q23" i="1" s="1"/>
  <c r="R23" i="1" s="1"/>
  <c r="S23" i="1" s="1"/>
  <c r="I6" i="1"/>
  <c r="J6" i="1" s="1"/>
  <c r="K6" i="1" s="1"/>
  <c r="L6" i="1" s="1"/>
  <c r="M6" i="1" s="1"/>
  <c r="N6" i="1" s="1"/>
  <c r="O6" i="1" s="1"/>
  <c r="P6" i="1" s="1"/>
  <c r="Q6" i="1" s="1"/>
  <c r="R6" i="1" s="1"/>
  <c r="S6" i="1" s="1"/>
  <c r="F5" i="1"/>
  <c r="G5" i="1" s="1"/>
  <c r="H5" i="1" s="1"/>
  <c r="I5" i="1" s="1"/>
  <c r="J5" i="1" s="1"/>
  <c r="K5" i="1" s="1"/>
  <c r="L5" i="1" s="1"/>
  <c r="M5" i="1" s="1"/>
  <c r="N5" i="1" s="1"/>
  <c r="O5" i="1" s="1"/>
  <c r="P5" i="1" s="1"/>
  <c r="Q5" i="1" s="1"/>
  <c r="R5" i="1" s="1"/>
  <c r="S5" i="1" s="1"/>
  <c r="T5" i="1" s="1"/>
  <c r="U5" i="1" s="1"/>
  <c r="V5" i="1" s="1"/>
  <c r="W5" i="1" s="1"/>
  <c r="F56" i="1"/>
  <c r="F79" i="1"/>
  <c r="G79" i="1" s="1"/>
  <c r="H79" i="1" s="1"/>
  <c r="I79" i="1" s="1"/>
  <c r="J79" i="1" s="1"/>
  <c r="K79" i="1" s="1"/>
  <c r="L79" i="1" s="1"/>
  <c r="M79" i="1" s="1"/>
  <c r="N79" i="1" s="1"/>
  <c r="O79" i="1" s="1"/>
  <c r="P79" i="1" s="1"/>
  <c r="Q79" i="1" s="1"/>
  <c r="R79" i="1" s="1"/>
  <c r="S79" i="1" s="1"/>
  <c r="F80" i="1"/>
  <c r="G80" i="1" s="1"/>
  <c r="H80" i="1" s="1"/>
  <c r="I80" i="1" s="1"/>
  <c r="J80" i="1" s="1"/>
  <c r="K80" i="1" s="1"/>
  <c r="L80" i="1" s="1"/>
  <c r="M80" i="1" s="1"/>
  <c r="N80" i="1" s="1"/>
  <c r="O80" i="1" s="1"/>
  <c r="P80" i="1" s="1"/>
  <c r="Q80" i="1" s="1"/>
  <c r="R80" i="1" s="1"/>
  <c r="S80" i="1" s="1"/>
  <c r="C31" i="1"/>
  <c r="B31" i="1"/>
  <c r="E111" i="1"/>
  <c r="F111" i="1"/>
  <c r="G111" i="1"/>
  <c r="H111" i="1"/>
  <c r="I111" i="1"/>
  <c r="J111" i="1"/>
  <c r="E113" i="1"/>
  <c r="F113" i="1" s="1"/>
  <c r="G113" i="1" s="1"/>
  <c r="H113" i="1" s="1"/>
  <c r="I113" i="1" s="1"/>
  <c r="J113" i="1" s="1"/>
  <c r="K113" i="1" s="1"/>
  <c r="L113" i="1" s="1"/>
  <c r="M113" i="1" s="1"/>
  <c r="N113" i="1" s="1"/>
  <c r="O113" i="1" s="1"/>
  <c r="P113" i="1" s="1"/>
  <c r="Q113" i="1" s="1"/>
  <c r="R113" i="1" s="1"/>
  <c r="S113" i="1" s="1"/>
  <c r="T113" i="1" s="1"/>
  <c r="U113" i="1" s="1"/>
  <c r="V113" i="1" s="1"/>
  <c r="W113" i="1" s="1"/>
  <c r="W10" i="1"/>
  <c r="W12" i="1" s="1"/>
  <c r="W111" i="1"/>
  <c r="K111" i="1"/>
  <c r="L111" i="1"/>
  <c r="M111" i="1"/>
  <c r="N111" i="1"/>
  <c r="O111" i="1"/>
  <c r="P111" i="1"/>
  <c r="Q111" i="1"/>
  <c r="R111" i="1"/>
  <c r="S111" i="1"/>
  <c r="T111" i="1"/>
  <c r="U111" i="1"/>
  <c r="V111" i="1"/>
  <c r="S110" i="1"/>
  <c r="T110" i="1" s="1"/>
  <c r="U110" i="1" s="1"/>
  <c r="V110" i="1" s="1"/>
  <c r="W110" i="1" s="1"/>
  <c r="P109" i="1"/>
  <c r="Q109" i="1" s="1"/>
  <c r="R109" i="1" s="1"/>
  <c r="S109" i="1" s="1"/>
  <c r="T109" i="1" s="1"/>
  <c r="U109" i="1" s="1"/>
  <c r="V109" i="1" s="1"/>
  <c r="W109" i="1" s="1"/>
  <c r="D15" i="1"/>
  <c r="O12" i="1"/>
  <c r="P12" i="1"/>
  <c r="Q12" i="1"/>
  <c r="R12" i="1"/>
  <c r="S12" i="1"/>
  <c r="T10" i="1"/>
  <c r="T12" i="1" s="1"/>
  <c r="U10" i="1"/>
  <c r="U12" i="1" s="1"/>
  <c r="V10" i="1"/>
  <c r="V12" i="1" s="1"/>
  <c r="F43" i="1" l="1"/>
  <c r="E15" i="1"/>
  <c r="E112" i="1" s="1"/>
  <c r="E114" i="1" s="1"/>
  <c r="E17" i="1"/>
  <c r="F21" i="1"/>
  <c r="F41" i="1" s="1"/>
  <c r="D112" i="1"/>
  <c r="D114" i="1" s="1"/>
  <c r="D30" i="1"/>
  <c r="D31" i="1" s="1"/>
  <c r="R40" i="1"/>
  <c r="O47" i="1"/>
  <c r="H4" i="1"/>
  <c r="G21" i="1"/>
  <c r="G41" i="1" s="1"/>
  <c r="F31" i="1"/>
  <c r="G56" i="1"/>
  <c r="H53" i="1"/>
  <c r="H28" i="1"/>
  <c r="F15" i="1" l="1"/>
  <c r="F112" i="1" s="1"/>
  <c r="F114" i="1" s="1"/>
  <c r="E19" i="1"/>
  <c r="E22" i="1" s="1"/>
  <c r="E25" i="1" s="1"/>
  <c r="E27" i="1" s="1"/>
  <c r="H43" i="1"/>
  <c r="I28" i="1"/>
  <c r="P47" i="1"/>
  <c r="I4" i="1"/>
  <c r="H21" i="1"/>
  <c r="H41" i="1" s="1"/>
  <c r="F48" i="1"/>
  <c r="G31" i="1"/>
  <c r="H56" i="1"/>
  <c r="I53" i="1"/>
  <c r="S40" i="1"/>
  <c r="G15" i="1" l="1"/>
  <c r="H15" i="1" s="1"/>
  <c r="I15" i="1" s="1"/>
  <c r="I112" i="1" s="1"/>
  <c r="I114" i="1" s="1"/>
  <c r="F17" i="1"/>
  <c r="G112" i="1"/>
  <c r="G114" i="1" s="1"/>
  <c r="J15" i="1"/>
  <c r="J112" i="1" s="1"/>
  <c r="J114" i="1" s="1"/>
  <c r="H112" i="1"/>
  <c r="H114" i="1" s="1"/>
  <c r="F19" i="1"/>
  <c r="G17" i="1" s="1"/>
  <c r="E42" i="1"/>
  <c r="E30" i="1"/>
  <c r="E35" i="1" s="1"/>
  <c r="E36" i="1"/>
  <c r="G48" i="1"/>
  <c r="H31" i="1"/>
  <c r="Q47" i="1"/>
  <c r="J28" i="1"/>
  <c r="I43" i="1"/>
  <c r="J53" i="1"/>
  <c r="I56" i="1"/>
  <c r="I21" i="1"/>
  <c r="I41" i="1" s="1"/>
  <c r="J4" i="1"/>
  <c r="G16" i="1" l="1"/>
  <c r="H16" i="1" s="1"/>
  <c r="I16" i="1" s="1"/>
  <c r="J16" i="1" s="1"/>
  <c r="K16" i="1" s="1"/>
  <c r="L16" i="1" s="1"/>
  <c r="K15" i="1"/>
  <c r="L15" i="1" s="1"/>
  <c r="L112" i="1" s="1"/>
  <c r="L114" i="1" s="1"/>
  <c r="F22" i="1"/>
  <c r="F25" i="1" s="1"/>
  <c r="F27" i="1" s="1"/>
  <c r="E37" i="1"/>
  <c r="E40" i="1" s="1"/>
  <c r="E41" i="1" s="1"/>
  <c r="E44" i="1" s="1"/>
  <c r="R47" i="1"/>
  <c r="K53" i="1"/>
  <c r="J56" i="1"/>
  <c r="J43" i="1"/>
  <c r="K28" i="1"/>
  <c r="H48" i="1"/>
  <c r="I31" i="1"/>
  <c r="K4" i="1"/>
  <c r="J21" i="1"/>
  <c r="J41" i="1" s="1"/>
  <c r="M15" i="1"/>
  <c r="K112" i="1" l="1"/>
  <c r="K114" i="1" s="1"/>
  <c r="G19" i="1"/>
  <c r="H17" i="1" s="1"/>
  <c r="F24" i="1"/>
  <c r="G26" i="1" s="1"/>
  <c r="F42" i="1"/>
  <c r="F44" i="1" s="1"/>
  <c r="F30" i="1"/>
  <c r="F32" i="1" s="1"/>
  <c r="E45" i="1"/>
  <c r="E50" i="1"/>
  <c r="E51" i="1" s="1"/>
  <c r="L4" i="1"/>
  <c r="K21" i="1"/>
  <c r="K41" i="1" s="1"/>
  <c r="S47" i="1"/>
  <c r="I48" i="1"/>
  <c r="J31" i="1"/>
  <c r="K43" i="1"/>
  <c r="L28" i="1"/>
  <c r="L53" i="1"/>
  <c r="K56" i="1"/>
  <c r="N15" i="1"/>
  <c r="M16" i="1"/>
  <c r="M112" i="1"/>
  <c r="M114" i="1" s="1"/>
  <c r="G22" i="1" l="1"/>
  <c r="G25" i="1" s="1"/>
  <c r="G27" i="1" s="1"/>
  <c r="H19" i="1"/>
  <c r="H22" i="1" s="1"/>
  <c r="H25" i="1" s="1"/>
  <c r="F50" i="1"/>
  <c r="F45" i="1"/>
  <c r="E58" i="1"/>
  <c r="E62" i="1" s="1"/>
  <c r="E63" i="1" s="1"/>
  <c r="E64" i="1" s="1"/>
  <c r="E66" i="1" s="1"/>
  <c r="E68" i="1" s="1"/>
  <c r="E71" i="1"/>
  <c r="E73" i="1" s="1"/>
  <c r="F73" i="1" s="1"/>
  <c r="G73" i="1" s="1"/>
  <c r="H73" i="1" s="1"/>
  <c r="I73" i="1" s="1"/>
  <c r="J73" i="1" s="1"/>
  <c r="K73" i="1" s="1"/>
  <c r="L73" i="1" s="1"/>
  <c r="M73" i="1" s="1"/>
  <c r="N73" i="1" s="1"/>
  <c r="O73" i="1" s="1"/>
  <c r="P73" i="1" s="1"/>
  <c r="Q73" i="1" s="1"/>
  <c r="R73" i="1" s="1"/>
  <c r="S73" i="1" s="1"/>
  <c r="L43" i="1"/>
  <c r="M28" i="1"/>
  <c r="J48" i="1"/>
  <c r="K31" i="1"/>
  <c r="L56" i="1"/>
  <c r="M53" i="1"/>
  <c r="M4" i="1"/>
  <c r="L21" i="1"/>
  <c r="L41" i="1" s="1"/>
  <c r="O15" i="1"/>
  <c r="N16" i="1"/>
  <c r="N112" i="1"/>
  <c r="N114" i="1" s="1"/>
  <c r="E83" i="1" l="1"/>
  <c r="E90" i="1" s="1"/>
  <c r="G24" i="1"/>
  <c r="H26" i="1" s="1"/>
  <c r="H27" i="1" s="1"/>
  <c r="I17" i="1"/>
  <c r="F71" i="1"/>
  <c r="F74" i="1" s="1"/>
  <c r="F102" i="1" s="1"/>
  <c r="F58" i="1"/>
  <c r="F62" i="1" s="1"/>
  <c r="F63" i="1" s="1"/>
  <c r="F64" i="1" s="1"/>
  <c r="F66" i="1" s="1"/>
  <c r="F68" i="1" s="1"/>
  <c r="F83" i="1" s="1"/>
  <c r="F90" i="1" s="1"/>
  <c r="G30" i="1"/>
  <c r="G32" i="1" s="1"/>
  <c r="G42" i="1"/>
  <c r="G44" i="1" s="1"/>
  <c r="M21" i="1"/>
  <c r="M41" i="1" s="1"/>
  <c r="N4" i="1"/>
  <c r="N53" i="1"/>
  <c r="M56" i="1"/>
  <c r="N28" i="1"/>
  <c r="M43" i="1"/>
  <c r="K48" i="1"/>
  <c r="L31" i="1"/>
  <c r="O16" i="1"/>
  <c r="P15" i="1"/>
  <c r="O112" i="1"/>
  <c r="O114" i="1" s="1"/>
  <c r="I19" i="1" l="1"/>
  <c r="I22" i="1" s="1"/>
  <c r="I25" i="1" s="1"/>
  <c r="H24" i="1"/>
  <c r="I26" i="1" s="1"/>
  <c r="H30" i="1"/>
  <c r="H32" i="1" s="1"/>
  <c r="H42" i="1"/>
  <c r="H44" i="1" s="1"/>
  <c r="G50" i="1"/>
  <c r="G45" i="1"/>
  <c r="F77" i="1"/>
  <c r="F81" i="1" s="1"/>
  <c r="F88" i="1" s="1"/>
  <c r="M31" i="1"/>
  <c r="L48" i="1"/>
  <c r="O53" i="1"/>
  <c r="N56" i="1"/>
  <c r="O4" i="1"/>
  <c r="N21" i="1"/>
  <c r="N41" i="1" s="1"/>
  <c r="O28" i="1"/>
  <c r="N43" i="1"/>
  <c r="P16" i="1"/>
  <c r="P112" i="1"/>
  <c r="P114" i="1" s="1"/>
  <c r="Q15" i="1"/>
  <c r="I27" i="1" l="1"/>
  <c r="I42" i="1" s="1"/>
  <c r="I44" i="1" s="1"/>
  <c r="J17" i="1"/>
  <c r="I24" i="1"/>
  <c r="J26" i="1" s="1"/>
  <c r="G71" i="1"/>
  <c r="G74" i="1" s="1"/>
  <c r="G58" i="1"/>
  <c r="G62" i="1" s="1"/>
  <c r="G63" i="1" s="1"/>
  <c r="G64" i="1" s="1"/>
  <c r="G66" i="1" s="1"/>
  <c r="G68" i="1" s="1"/>
  <c r="H50" i="1"/>
  <c r="H45" i="1"/>
  <c r="I30" i="1"/>
  <c r="I32" i="1" s="1"/>
  <c r="P28" i="1"/>
  <c r="O43" i="1"/>
  <c r="P53" i="1"/>
  <c r="O56" i="1"/>
  <c r="O21" i="1"/>
  <c r="O41" i="1" s="1"/>
  <c r="P4" i="1"/>
  <c r="M48" i="1"/>
  <c r="N31" i="1"/>
  <c r="Q16" i="1"/>
  <c r="R15" i="1"/>
  <c r="Q112" i="1"/>
  <c r="Q114" i="1" s="1"/>
  <c r="G83" i="1" l="1"/>
  <c r="G90" i="1" s="1"/>
  <c r="G77" i="1"/>
  <c r="G81" i="1" s="1"/>
  <c r="G88" i="1" s="1"/>
  <c r="G102" i="1"/>
  <c r="J19" i="1"/>
  <c r="J22" i="1" s="1"/>
  <c r="H58" i="1"/>
  <c r="H62" i="1" s="1"/>
  <c r="H63" i="1" s="1"/>
  <c r="H64" i="1" s="1"/>
  <c r="H66" i="1" s="1"/>
  <c r="H68" i="1" s="1"/>
  <c r="H71" i="1"/>
  <c r="H74" i="1" s="1"/>
  <c r="H77" i="1" s="1"/>
  <c r="H81" i="1" s="1"/>
  <c r="H88" i="1" s="1"/>
  <c r="I50" i="1"/>
  <c r="I45" i="1"/>
  <c r="P56" i="1"/>
  <c r="Q53" i="1"/>
  <c r="O31" i="1"/>
  <c r="N48" i="1"/>
  <c r="Q4" i="1"/>
  <c r="P21" i="1"/>
  <c r="P41" i="1" s="1"/>
  <c r="P43" i="1"/>
  <c r="Q28" i="1"/>
  <c r="R112" i="1"/>
  <c r="R114" i="1" s="1"/>
  <c r="R16" i="1"/>
  <c r="S15" i="1"/>
  <c r="H83" i="1" l="1"/>
  <c r="H90" i="1" s="1"/>
  <c r="H102" i="1"/>
  <c r="K17" i="1"/>
  <c r="J25" i="1"/>
  <c r="J27" i="1" s="1"/>
  <c r="I58" i="1"/>
  <c r="I62" i="1" s="1"/>
  <c r="I63" i="1" s="1"/>
  <c r="I64" i="1" s="1"/>
  <c r="I66" i="1" s="1"/>
  <c r="I68" i="1" s="1"/>
  <c r="I71" i="1"/>
  <c r="I74" i="1" s="1"/>
  <c r="R28" i="1"/>
  <c r="Q43" i="1"/>
  <c r="P31" i="1"/>
  <c r="O48" i="1"/>
  <c r="R53" i="1"/>
  <c r="Q56" i="1"/>
  <c r="Q21" i="1"/>
  <c r="Q41" i="1" s="1"/>
  <c r="R4" i="1"/>
  <c r="S16" i="1"/>
  <c r="S112" i="1"/>
  <c r="S114" i="1" s="1"/>
  <c r="T15" i="1"/>
  <c r="I83" i="1" l="1"/>
  <c r="I90" i="1" s="1"/>
  <c r="E84" i="1"/>
  <c r="E91" i="1" s="1"/>
  <c r="I102" i="1"/>
  <c r="J24" i="1"/>
  <c r="K26" i="1" s="1"/>
  <c r="K19" i="1"/>
  <c r="K22" i="1" s="1"/>
  <c r="K25" i="1" s="1"/>
  <c r="J30" i="1"/>
  <c r="J32" i="1" s="1"/>
  <c r="J42" i="1"/>
  <c r="J44" i="1" s="1"/>
  <c r="I77" i="1"/>
  <c r="I81" i="1" s="1"/>
  <c r="I88" i="1" s="1"/>
  <c r="E78" i="1"/>
  <c r="E82" i="1" s="1"/>
  <c r="Q31" i="1"/>
  <c r="P48" i="1"/>
  <c r="R21" i="1"/>
  <c r="R41" i="1" s="1"/>
  <c r="S4" i="1"/>
  <c r="S53" i="1"/>
  <c r="S56" i="1" s="1"/>
  <c r="R56" i="1"/>
  <c r="S28" i="1"/>
  <c r="S43" i="1" s="1"/>
  <c r="R43" i="1"/>
  <c r="T112" i="1"/>
  <c r="T114" i="1" s="1"/>
  <c r="U15" i="1"/>
  <c r="K24" i="1" l="1"/>
  <c r="L26" i="1" s="1"/>
  <c r="L17" i="1"/>
  <c r="L19" i="1" s="1"/>
  <c r="L22" i="1" s="1"/>
  <c r="L25" i="1" s="1"/>
  <c r="J50" i="1"/>
  <c r="J45" i="1"/>
  <c r="K27" i="1"/>
  <c r="E89" i="1"/>
  <c r="S21" i="1"/>
  <c r="S41" i="1" s="1"/>
  <c r="T4" i="1"/>
  <c r="U4" i="1" s="1"/>
  <c r="V4" i="1" s="1"/>
  <c r="W4" i="1" s="1"/>
  <c r="R31" i="1"/>
  <c r="Q48" i="1"/>
  <c r="V15" i="1"/>
  <c r="U112" i="1"/>
  <c r="U114" i="1" s="1"/>
  <c r="L27" i="1" l="1"/>
  <c r="L30" i="1" s="1"/>
  <c r="L32" i="1" s="1"/>
  <c r="M17" i="1"/>
  <c r="L24" i="1"/>
  <c r="M26" i="1" s="1"/>
  <c r="K42" i="1"/>
  <c r="K44" i="1" s="1"/>
  <c r="K30" i="1"/>
  <c r="K32" i="1" s="1"/>
  <c r="J71" i="1"/>
  <c r="J74" i="1" s="1"/>
  <c r="J102" i="1" s="1"/>
  <c r="J58" i="1"/>
  <c r="J62" i="1" s="1"/>
  <c r="J63" i="1" s="1"/>
  <c r="J64" i="1" s="1"/>
  <c r="J66" i="1" s="1"/>
  <c r="S31" i="1"/>
  <c r="S48" i="1" s="1"/>
  <c r="R48" i="1"/>
  <c r="W15" i="1"/>
  <c r="W112" i="1" s="1"/>
  <c r="W114" i="1" s="1"/>
  <c r="X114" i="1" s="1"/>
  <c r="V112" i="1"/>
  <c r="V114" i="1" s="1"/>
  <c r="L42" i="1" l="1"/>
  <c r="L44" i="1" s="1"/>
  <c r="L50" i="1" s="1"/>
  <c r="F116" i="1"/>
  <c r="F117" i="1" s="1"/>
  <c r="J68" i="1"/>
  <c r="J77" i="1"/>
  <c r="J81" i="1" s="1"/>
  <c r="J88" i="1" s="1"/>
  <c r="F78" i="1"/>
  <c r="F82" i="1" s="1"/>
  <c r="M19" i="1"/>
  <c r="M22" i="1" s="1"/>
  <c r="K50" i="1"/>
  <c r="K45" i="1"/>
  <c r="L45" i="1" l="1"/>
  <c r="J83" i="1"/>
  <c r="J90" i="1" s="1"/>
  <c r="F84" i="1"/>
  <c r="F91" i="1" s="1"/>
  <c r="N17" i="1"/>
  <c r="K58" i="1"/>
  <c r="K62" i="1" s="1"/>
  <c r="K63" i="1" s="1"/>
  <c r="K64" i="1" s="1"/>
  <c r="K66" i="1" s="1"/>
  <c r="K68" i="1" s="1"/>
  <c r="K83" i="1" s="1"/>
  <c r="K90" i="1" s="1"/>
  <c r="K71" i="1"/>
  <c r="K74" i="1" s="1"/>
  <c r="K102" i="1" s="1"/>
  <c r="L58" i="1"/>
  <c r="L62" i="1" s="1"/>
  <c r="L63" i="1" s="1"/>
  <c r="L64" i="1" s="1"/>
  <c r="L66" i="1" s="1"/>
  <c r="L68" i="1" s="1"/>
  <c r="L71" i="1"/>
  <c r="L74" i="1" s="1"/>
  <c r="F89" i="1"/>
  <c r="M25" i="1"/>
  <c r="M27" i="1" s="1"/>
  <c r="L102" i="1" l="1"/>
  <c r="L83" i="1"/>
  <c r="L90" i="1" s="1"/>
  <c r="H84" i="1"/>
  <c r="H91" i="1" s="1"/>
  <c r="G84" i="1"/>
  <c r="G91" i="1" s="1"/>
  <c r="M24" i="1"/>
  <c r="N26" i="1" s="1"/>
  <c r="N19" i="1"/>
  <c r="N22" i="1" s="1"/>
  <c r="N25" i="1" s="1"/>
  <c r="M30" i="1"/>
  <c r="M32" i="1" s="1"/>
  <c r="M42" i="1"/>
  <c r="M44" i="1" s="1"/>
  <c r="K77" i="1"/>
  <c r="K81" i="1" s="1"/>
  <c r="K88" i="1" s="1"/>
  <c r="L77" i="1"/>
  <c r="L81" i="1" s="1"/>
  <c r="L88" i="1" s="1"/>
  <c r="H78" i="1"/>
  <c r="H82" i="1" s="1"/>
  <c r="G78" i="1"/>
  <c r="G82" i="1" s="1"/>
  <c r="N24" i="1" l="1"/>
  <c r="O26" i="1" s="1"/>
  <c r="O17" i="1"/>
  <c r="G89" i="1"/>
  <c r="M50" i="1"/>
  <c r="M45" i="1"/>
  <c r="H89" i="1"/>
  <c r="N27" i="1"/>
  <c r="M71" i="1" l="1"/>
  <c r="M74" i="1" s="1"/>
  <c r="M102" i="1" s="1"/>
  <c r="M58" i="1"/>
  <c r="M62" i="1" s="1"/>
  <c r="M63" i="1" s="1"/>
  <c r="M64" i="1" s="1"/>
  <c r="M66" i="1" s="1"/>
  <c r="M68" i="1" s="1"/>
  <c r="O19" i="1"/>
  <c r="P17" i="1" s="1"/>
  <c r="N30" i="1"/>
  <c r="N32" i="1" s="1"/>
  <c r="N42" i="1"/>
  <c r="N44" i="1" s="1"/>
  <c r="M83" i="1" l="1"/>
  <c r="M90" i="1" s="1"/>
  <c r="I84" i="1"/>
  <c r="I91" i="1" s="1"/>
  <c r="O22" i="1"/>
  <c r="O25" i="1" s="1"/>
  <c r="O27" i="1" s="1"/>
  <c r="N50" i="1"/>
  <c r="N45" i="1"/>
  <c r="I78" i="1"/>
  <c r="I82" i="1" s="1"/>
  <c r="M77" i="1"/>
  <c r="M81" i="1" s="1"/>
  <c r="M88" i="1" s="1"/>
  <c r="O24" i="1" l="1"/>
  <c r="P26" i="1" s="1"/>
  <c r="I89" i="1"/>
  <c r="N58" i="1"/>
  <c r="N62" i="1" s="1"/>
  <c r="N63" i="1" s="1"/>
  <c r="N64" i="1" s="1"/>
  <c r="N66" i="1" s="1"/>
  <c r="N68" i="1" s="1"/>
  <c r="N71" i="1"/>
  <c r="N74" i="1" s="1"/>
  <c r="O42" i="1"/>
  <c r="O44" i="1" s="1"/>
  <c r="O30" i="1"/>
  <c r="O32" i="1" s="1"/>
  <c r="P19" i="1"/>
  <c r="J84" i="1" l="1"/>
  <c r="J91" i="1" s="1"/>
  <c r="N83" i="1"/>
  <c r="N90" i="1" s="1"/>
  <c r="P22" i="1"/>
  <c r="P25" i="1" s="1"/>
  <c r="P27" i="1" s="1"/>
  <c r="Q17" i="1"/>
  <c r="N77" i="1"/>
  <c r="N81" i="1" s="1"/>
  <c r="N88" i="1" s="1"/>
  <c r="J78" i="1"/>
  <c r="J82" i="1" s="1"/>
  <c r="O50" i="1"/>
  <c r="O45" i="1"/>
  <c r="P24" i="1" l="1"/>
  <c r="Q26" i="1" s="1"/>
  <c r="P30" i="1"/>
  <c r="P32" i="1" s="1"/>
  <c r="P42" i="1"/>
  <c r="P44" i="1" s="1"/>
  <c r="Q19" i="1"/>
  <c r="Q22" i="1" s="1"/>
  <c r="Q25" i="1" s="1"/>
  <c r="J89" i="1"/>
  <c r="O58" i="1"/>
  <c r="O62" i="1" s="1"/>
  <c r="O63" i="1" s="1"/>
  <c r="O64" i="1" s="1"/>
  <c r="O66" i="1" s="1"/>
  <c r="O68" i="1" s="1"/>
  <c r="O71" i="1"/>
  <c r="O74" i="1" s="1"/>
  <c r="O83" i="1" l="1"/>
  <c r="O90" i="1" s="1"/>
  <c r="K84" i="1"/>
  <c r="K91" i="1" s="1"/>
  <c r="P45" i="1"/>
  <c r="P50" i="1"/>
  <c r="P71" i="1" s="1"/>
  <c r="P74" i="1" s="1"/>
  <c r="R17" i="1"/>
  <c r="O77" i="1"/>
  <c r="O81" i="1" s="1"/>
  <c r="K78" i="1"/>
  <c r="K82" i="1" s="1"/>
  <c r="Q24" i="1"/>
  <c r="Q27" i="1"/>
  <c r="P58" i="1" l="1"/>
  <c r="P62" i="1" s="1"/>
  <c r="P63" i="1" s="1"/>
  <c r="P64" i="1" s="1"/>
  <c r="P66" i="1" s="1"/>
  <c r="P68" i="1" s="1"/>
  <c r="K89" i="1"/>
  <c r="R26" i="1"/>
  <c r="L78" i="1"/>
  <c r="L82" i="1" s="1"/>
  <c r="Q30" i="1"/>
  <c r="Q32" i="1" s="1"/>
  <c r="Q42" i="1"/>
  <c r="Q44" i="1" s="1"/>
  <c r="R19" i="1"/>
  <c r="R22" i="1" s="1"/>
  <c r="R25" i="1" s="1"/>
  <c r="P77" i="1"/>
  <c r="P81" i="1" s="1"/>
  <c r="O88" i="1"/>
  <c r="P83" i="1" l="1"/>
  <c r="P90" i="1" s="1"/>
  <c r="L84" i="1"/>
  <c r="L91" i="1" s="1"/>
  <c r="S17" i="1"/>
  <c r="S19" i="1" s="1"/>
  <c r="S22" i="1" s="1"/>
  <c r="S25" i="1" s="1"/>
  <c r="R24" i="1"/>
  <c r="S26" i="1" s="1"/>
  <c r="R27" i="1"/>
  <c r="Q50" i="1"/>
  <c r="Q45" i="1"/>
  <c r="P88" i="1"/>
  <c r="L89" i="1"/>
  <c r="S27" i="1" l="1"/>
  <c r="S30" i="1" s="1"/>
  <c r="S32" i="1" s="1"/>
  <c r="S24" i="1"/>
  <c r="Q58" i="1"/>
  <c r="Q62" i="1" s="1"/>
  <c r="Q63" i="1" s="1"/>
  <c r="Q64" i="1" s="1"/>
  <c r="Q66" i="1" s="1"/>
  <c r="Q68" i="1" s="1"/>
  <c r="Q71" i="1"/>
  <c r="Q74" i="1" s="1"/>
  <c r="R42" i="1"/>
  <c r="R44" i="1" s="1"/>
  <c r="R30" i="1"/>
  <c r="R32" i="1" s="1"/>
  <c r="M84" i="1" l="1"/>
  <c r="M91" i="1" s="1"/>
  <c r="Q83" i="1"/>
  <c r="Q90" i="1" s="1"/>
  <c r="S42" i="1"/>
  <c r="S44" i="1" s="1"/>
  <c r="S50" i="1" s="1"/>
  <c r="Q77" i="1"/>
  <c r="Q81" i="1" s="1"/>
  <c r="M78" i="1"/>
  <c r="M82" i="1" s="1"/>
  <c r="R45" i="1"/>
  <c r="R50" i="1"/>
  <c r="S45" i="1" l="1"/>
  <c r="Q88" i="1"/>
  <c r="R58" i="1"/>
  <c r="R62" i="1" s="1"/>
  <c r="R63" i="1" s="1"/>
  <c r="R64" i="1" s="1"/>
  <c r="R66" i="1" s="1"/>
  <c r="R68" i="1" s="1"/>
  <c r="R71" i="1"/>
  <c r="R74" i="1" s="1"/>
  <c r="S71" i="1"/>
  <c r="S74" i="1" s="1"/>
  <c r="S58" i="1"/>
  <c r="S62" i="1" s="1"/>
  <c r="S63" i="1" s="1"/>
  <c r="S64" i="1" s="1"/>
  <c r="S66" i="1" s="1"/>
  <c r="S68" i="1" s="1"/>
  <c r="M89" i="1"/>
  <c r="S83" i="1" l="1"/>
  <c r="S90" i="1" s="1"/>
  <c r="R83" i="1"/>
  <c r="R90" i="1" s="1"/>
  <c r="N84" i="1"/>
  <c r="N91" i="1" s="1"/>
  <c r="O84" i="1"/>
  <c r="O91" i="1" s="1"/>
  <c r="N78" i="1"/>
  <c r="N82" i="1" s="1"/>
  <c r="O78" i="1"/>
  <c r="O82" i="1" s="1"/>
  <c r="S77" i="1"/>
  <c r="S81" i="1" s="1"/>
  <c r="R77" i="1"/>
  <c r="R81" i="1" s="1"/>
  <c r="R88" i="1" l="1"/>
  <c r="O89" i="1"/>
  <c r="S88" i="1"/>
  <c r="N8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tc={C584ABE3-EFE5-4B17-A32A-ED7E0FF0AD6F}</author>
    <author>Matthew C. Smith</author>
    <author>tc={16758B88-3EA6-442B-B6B7-04A871669E9B}</author>
    <author>tc={81B30D38-F20C-4735-9546-5739448A8841}</author>
    <author>tc={C224C6A9-0BE5-4022-954D-D6A081F3E10E}</author>
    <author>tc={B07BED3D-7AD2-4997-A7D7-E65F03282924}</author>
    <author>tc={D389009D-1910-4EEA-A684-6FF03EADAD99}</author>
    <author>tc={0B397B68-336D-490E-BC6D-EF51A8FA15B8}</author>
    <author>tc={E51FFE9E-4867-44B7-84AE-BAE93AB96797}</author>
    <author>tc={F1BB1442-2CF4-47B4-AC50-49B0C72537F2}</author>
    <author>tc={776DF9A5-74F9-4D6A-80A7-5E05F8BBB896}</author>
    <author>tc={9A5CF0B2-3C5A-4C48-8723-642D6DAA861C}</author>
    <author>tc={30179754-6528-4C12-AA04-670507E7AF25}</author>
    <author>tc={6C90F28A-9F7A-4CEF-88FC-654C39515344}</author>
    <author>tc={FD0BC9C1-3BAC-4D2E-83A1-0D73F0B27E42}</author>
    <author>tc={8D1DB665-9610-4A2E-9011-4789B33F2D75}</author>
  </authors>
  <commentList>
    <comment ref="E7" authorId="0" shapeId="0" xr:uid="{C584ABE3-EFE5-4B17-A32A-ED7E0FF0AD6F}">
      <text>
        <t>[Threaded comment]
Your version of Excel allows you to read this threaded comment; however, any edits to it will get removed if the file is opened in a newer version of Excel. Learn more: https://go.microsoft.com/fwlink/?linkid=870924
Comment:
    Many geographies have higher FSD price than US.</t>
      </text>
    </comment>
    <comment ref="F7" authorId="1" shapeId="0" xr:uid="{9E61D38F-0A6E-4371-8AC7-8B67C33F878C}">
      <text>
        <r>
          <rPr>
            <b/>
            <sz val="9"/>
            <color indexed="81"/>
            <rFont val="Tahoma"/>
            <family val="2"/>
          </rPr>
          <t>Matthew C. Smith:</t>
        </r>
        <r>
          <rPr>
            <sz val="9"/>
            <color indexed="81"/>
            <rFont val="Tahoma"/>
            <family val="2"/>
          </rPr>
          <t xml:space="preserve">
Price increase 11/1, 1.5 month backlog means rev recognition not likely until Q1</t>
        </r>
      </text>
    </comment>
    <comment ref="E23" authorId="2" shapeId="0" xr:uid="{16758B88-3EA6-442B-B6B7-04A871669E9B}">
      <text>
        <t>[Threaded comment]
Your version of Excel allows you to read this threaded comment; however, any edits to it will get removed if the file is opened in a newer version of Excel. Learn more: https://go.microsoft.com/fwlink/?linkid=870924
Comment:
    Used this assumption as forcing function to get the model to agree with reported auto revenue. Full range of assumptions available here: https://twitter.com/MatchasmMatt/status/1204525719755382784</t>
      </text>
    </comment>
    <comment ref="G23" authorId="1" shapeId="0" xr:uid="{B91FA62E-B4FF-4D5B-BAA4-B578C61F18E7}">
      <text>
        <r>
          <rPr>
            <b/>
            <sz val="9"/>
            <color indexed="81"/>
            <rFont val="Tahoma"/>
            <charset val="1"/>
          </rPr>
          <t>Matthew C. Smith:</t>
        </r>
        <r>
          <rPr>
            <sz val="9"/>
            <color indexed="81"/>
            <rFont val="Tahoma"/>
            <charset val="1"/>
          </rPr>
          <t xml:space="preserve">
Assumes release of traffic lights and city streets, with this release being the largest chunk of unrecognizable revenues</t>
        </r>
      </text>
    </comment>
    <comment ref="I23" authorId="1" shapeId="0" xr:uid="{5BA96E76-7BAB-442D-90D2-3E8E73AE85B9}">
      <text>
        <r>
          <rPr>
            <b/>
            <sz val="9"/>
            <color indexed="81"/>
            <rFont val="Tahoma"/>
            <charset val="1"/>
          </rPr>
          <t>Matthew C. Smith:</t>
        </r>
        <r>
          <rPr>
            <sz val="9"/>
            <color indexed="81"/>
            <rFont val="Tahoma"/>
            <charset val="1"/>
          </rPr>
          <t xml:space="preserve">
All GAAP Requirements to make FSD revenue fully recognizable presumed to be met. This assumption hinges on accounting not requiring regulatory approval in each geography in order to make the recognition, which may be inaccurate.</t>
        </r>
      </text>
    </comment>
    <comment ref="E24" authorId="3" shapeId="0" xr:uid="{81B30D38-F20C-4735-9546-5739448A8841}">
      <text>
        <t>[Threaded comment]
Your version of Excel allows you to read this threaded comment; however, any edits to it will get removed if the file is opened in a newer version of Excel. Learn more: https://go.microsoft.com/fwlink/?linkid=870924
Comment:
    $662M of deferred rev. recognizable in 12 months. Reduced to $500M to account for premium connectivity, supercharger depreciation, and other items in the $662M bucket</t>
      </text>
    </comment>
    <comment ref="E26" authorId="4" shapeId="0" xr:uid="{C224C6A9-0BE5-4022-954D-D6A081F3E10E}">
      <text>
        <t>[Threaded comment]
Your version of Excel allows you to read this threaded comment; however, any edits to it will get removed if the file is opened in a newer version of Excel. Learn more: https://go.microsoft.com/fwlink/?linkid=870924
Comment:
    Disclosed. Related to Autosummon</t>
      </text>
    </comment>
    <comment ref="E28" authorId="5" shapeId="0" xr:uid="{B07BED3D-7AD2-4997-A7D7-E65F03282924}">
      <text>
        <t>[Threaded comment]
Your version of Excel allows you to read this threaded comment; however, any edits to it will get removed if the file is opened in a newer version of Excel. Learn more: https://go.microsoft.com/fwlink/?linkid=870924
Comment:
    $2B in ZEV credits with FCA announced, so $100M per Q is likely conservative</t>
      </text>
    </comment>
    <comment ref="E30" authorId="6" shapeId="0" xr:uid="{D389009D-1910-4EEA-A684-6FF03EADAD99}">
      <text>
        <t>[Threaded comment]
Your version of Excel allows you to read this threaded comment; however, any edits to it will get removed if the file is opened in a newer version of Excel. Learn more: https://go.microsoft.com/fwlink/?linkid=870924
Comment:
    Total auto revenues were $5.353B. Note this model uses a build-up assuming all sales for simplicity, but actuals include leases, sales of used vehicles and service revenues.</t>
      </text>
    </comment>
    <comment ref="F31" authorId="7" shapeId="0" xr:uid="{0B397B68-336D-490E-BC6D-EF51A8FA15B8}">
      <text>
        <t>[Threaded comment]
Your version of Excel allows you to read this threaded comment; however, any edits to it will get removed if the file is opened in a newer version of Excel. Learn more: https://go.microsoft.com/fwlink/?linkid=870924
Comment:
    Assumes rapid 15% growth per quarter as battery and solar business are re-emphasized. Margins expected to remain low.</t>
      </text>
    </comment>
    <comment ref="F40" authorId="8" shapeId="0" xr:uid="{E51FFE9E-4867-44B7-84AE-BAE93AB96797}">
      <text>
        <t>[Threaded comment]
Your version of Excel allows you to read this threaded comment; however, any edits to it will get removed if the file is opened in a newer version of Excel. Learn more: https://go.microsoft.com/fwlink/?linkid=870924
Comment:
    Assuming moderat increase in Q4 due to price increases and higher production at Fremont. Partially offset by ramp at Giga 3, but this impact will be stronger in Q1</t>
      </text>
    </comment>
    <comment ref="G40" authorId="1" shapeId="0" xr:uid="{3932C6BB-028F-43A0-A48B-1407521C8018}">
      <text>
        <r>
          <rPr>
            <b/>
            <sz val="9"/>
            <color indexed="81"/>
            <rFont val="Tahoma"/>
            <family val="2"/>
          </rPr>
          <t>Matthew C. Smith:</t>
        </r>
        <r>
          <rPr>
            <sz val="9"/>
            <color indexed="81"/>
            <rFont val="Tahoma"/>
            <family val="2"/>
          </rPr>
          <t xml:space="preserve">
Drop due to ramp of Y / China</t>
        </r>
      </text>
    </comment>
    <comment ref="E47" authorId="9" shapeId="0" xr:uid="{F1BB1442-2CF4-47B4-AC50-49B0C72537F2}">
      <text>
        <t>[Threaded comment]
Your version of Excel allows you to read this threaded comment; however, any edits to it will get removed if the file is opened in a newer version of Excel. Learn more: https://go.microsoft.com/fwlink/?linkid=870924
Comment:
    Forcing function to get accurate gross profit figure.</t>
      </text>
    </comment>
    <comment ref="F54" authorId="10" shapeId="0" xr:uid="{776DF9A5-74F9-4D6A-80A7-5E05F8BBB896}">
      <text>
        <t>[Threaded comment]
Your version of Excel allows you to read this threaded comment; however, any edits to it will get removed if the file is opened in a newer version of Excel. Learn more: https://go.microsoft.com/fwlink/?linkid=870924
Comment:
    Anticipate fairly significant uptick in SG&amp;A and R&amp;D, as job postings have significantly increased and new facilities are opening. Assuming 15% increase in Q4, 10% each Q thereafter</t>
      </text>
    </comment>
    <comment ref="K65" authorId="1" shapeId="0" xr:uid="{C7A1243E-652B-47AD-A5E0-53DAA9C8B65C}">
      <text>
        <r>
          <rPr>
            <b/>
            <sz val="9"/>
            <color indexed="81"/>
            <rFont val="Tahoma"/>
            <family val="2"/>
          </rPr>
          <t>Matthew C. Smith:</t>
        </r>
        <r>
          <rPr>
            <sz val="9"/>
            <color indexed="81"/>
            <rFont val="Tahoma"/>
            <family val="2"/>
          </rPr>
          <t xml:space="preserve">
Presumes vesting for Musk's incentive options over 5 quarters</t>
        </r>
      </text>
    </comment>
    <comment ref="F67" authorId="11" shapeId="0" xr:uid="{9A5CF0B2-3C5A-4C48-8723-642D6DAA861C}">
      <text>
        <t>[Threaded comment]
Your version of Excel allows you to read this threaded comment; however, any edits to it will get removed if the file is opened in a newer version of Excel. Learn more: https://go.microsoft.com/fwlink/?linkid=870924
Comment:
    Adjustments will continue to include stock based comp, which seems likely to increase over time. Leaving flat for conservatism.</t>
      </text>
    </comment>
    <comment ref="A73" authorId="1" shapeId="0" xr:uid="{6A435B9A-6529-4688-A2CB-FB841A067D18}">
      <text>
        <r>
          <rPr>
            <b/>
            <sz val="9"/>
            <color indexed="81"/>
            <rFont val="Tahoma"/>
            <family val="2"/>
          </rPr>
          <t>Matthew C. Smith:</t>
        </r>
        <r>
          <rPr>
            <sz val="9"/>
            <color indexed="81"/>
            <rFont val="Tahoma"/>
            <family val="2"/>
          </rPr>
          <t xml:space="preserve">
Includes stock based comp and a few other small items</t>
        </r>
      </text>
    </comment>
    <comment ref="F97" authorId="12" shapeId="0" xr:uid="{30179754-6528-4C12-AA04-670507E7AF25}">
      <text>
        <t>[Threaded comment]
Your version of Excel allows you to read this threaded comment; however, any edits to it will get removed if the file is opened in a newer version of Excel. Learn more: https://go.microsoft.com/fwlink/?linkid=870924
Comment:
    ~$700M in CIP at end of Q3, estimating $500M related to Giga 3 This brings total to $1.5B</t>
      </text>
    </comment>
    <comment ref="F102" authorId="13" shapeId="0" xr:uid="{6C90F28A-9F7A-4CEF-88FC-654C39515344}">
      <text>
        <t>[Threaded comment]
Your version of Excel allows you to read this threaded comment; however, any edits to it will get removed if the file is opened in a newer version of Excel. Learn more: https://go.microsoft.com/fwlink/?linkid=870924
Comment:
    These numbers are likely conservative since they assume no debt financing, and exclude impact of negative working capital on growing revenue base.</t>
      </text>
    </comment>
    <comment ref="X114" authorId="1" shapeId="0" xr:uid="{24DCAAF6-CC04-4190-8D5B-438FBB56A206}">
      <text>
        <r>
          <rPr>
            <b/>
            <sz val="9"/>
            <color indexed="81"/>
            <rFont val="Tahoma"/>
            <family val="2"/>
          </rPr>
          <t>Matthew C. Smith:</t>
        </r>
        <r>
          <rPr>
            <sz val="9"/>
            <color indexed="81"/>
            <rFont val="Tahoma"/>
            <family val="2"/>
          </rPr>
          <t xml:space="preserve">
Assumes annualized Q1 2024 robotaxi revenue equates to  EBITDA, times a 25x multiplier. This assumption requires rest of $TSLA business to pay for overhead of the Tesla Network (aggressive assumption) but does not take into account higher sales price potential for Robotaxis (very conservative assumption)</t>
        </r>
      </text>
    </comment>
    <comment ref="F116" authorId="14" shapeId="0" xr:uid="{FD0BC9C1-3BAC-4D2E-83A1-0D73F0B27E42}">
      <text>
        <t>[Threaded comment]
Your version of Excel allows you to read this threaded comment; however, any edits to it will get removed if the file is opened in a newer version of Excel. Learn more: https://go.microsoft.com/fwlink/?linkid=870924
Comment:
    Technically this should be discounted back to the present, but it seems unlikely the robotaxi thesis will be priced into the stock in the near term.</t>
      </text>
    </comment>
    <comment ref="F117" authorId="15" shapeId="0" xr:uid="{8D1DB665-9610-4A2E-9011-4789B33F2D75}">
      <text>
        <t>[Threaded comment]
Your version of Excel allows you to read this threaded comment; however, any edits to it will get removed if the file is opened in a newer version of Excel. Learn more: https://go.microsoft.com/fwlink/?linkid=870924
Comment:
    Note that this valuation is separate from the rest of $TSLA share price. Therefore this figure should be added to the "backstop" price of the auto/energy business to get full share price of company if Robotaxi business model is effectuated.</t>
      </text>
    </comment>
  </commentList>
</comments>
</file>

<file path=xl/sharedStrings.xml><?xml version="1.0" encoding="utf-8"?>
<sst xmlns="http://schemas.openxmlformats.org/spreadsheetml/2006/main" count="150" uniqueCount="147">
  <si>
    <t>Model 3</t>
  </si>
  <si>
    <t>Q2 2019</t>
  </si>
  <si>
    <t>Q3 2019</t>
  </si>
  <si>
    <t>Q2 2020</t>
  </si>
  <si>
    <t>Q3 2020</t>
  </si>
  <si>
    <t>Q2 2021</t>
  </si>
  <si>
    <t>Q3 2021</t>
  </si>
  <si>
    <t>Q2 2022</t>
  </si>
  <si>
    <t>Q3 2022</t>
  </si>
  <si>
    <t>Q2 2023</t>
  </si>
  <si>
    <t>Q3 2023</t>
  </si>
  <si>
    <t>Q2 2024</t>
  </si>
  <si>
    <t>Q3 2024</t>
  </si>
  <si>
    <t>Q2 2025</t>
  </si>
  <si>
    <t>Q3 2025</t>
  </si>
  <si>
    <t>Q2 2026</t>
  </si>
  <si>
    <t>Q3 2026</t>
  </si>
  <si>
    <t>Q2 2027</t>
  </si>
  <si>
    <t>Q3 2027</t>
  </si>
  <si>
    <t>Q2 2028</t>
  </si>
  <si>
    <t>Q3 2028</t>
  </si>
  <si>
    <t>Q2 2029</t>
  </si>
  <si>
    <t>Q3 2029</t>
  </si>
  <si>
    <t>Q2 2030</t>
  </si>
  <si>
    <t>Model Y</t>
  </si>
  <si>
    <t>Q4 2020</t>
  </si>
  <si>
    <t>Q1 2020</t>
  </si>
  <si>
    <t>Q4 2019</t>
  </si>
  <si>
    <t>Q4 2021</t>
  </si>
  <si>
    <t>Q1 2021</t>
  </si>
  <si>
    <t>Q4 2022</t>
  </si>
  <si>
    <t>Q1 2022</t>
  </si>
  <si>
    <t>Q4 2023</t>
  </si>
  <si>
    <t>Q1 2023</t>
  </si>
  <si>
    <t>Q4 2024</t>
  </si>
  <si>
    <t>Q1 2024</t>
  </si>
  <si>
    <t>Q4 2025</t>
  </si>
  <si>
    <t>Q1 2025</t>
  </si>
  <si>
    <t>Q4 2026</t>
  </si>
  <si>
    <t>Q1 2026</t>
  </si>
  <si>
    <t>Q4 2027</t>
  </si>
  <si>
    <t>Q1 2027</t>
  </si>
  <si>
    <t>Q4 2028</t>
  </si>
  <si>
    <t>Q1 2028</t>
  </si>
  <si>
    <t>Q4 2029</t>
  </si>
  <si>
    <t>Q1 2029</t>
  </si>
  <si>
    <t>Q4 2030</t>
  </si>
  <si>
    <t>Q1 2030</t>
  </si>
  <si>
    <t>Q3 2030</t>
  </si>
  <si>
    <t>Price</t>
  </si>
  <si>
    <t>Quantity</t>
  </si>
  <si>
    <t>Model 3 (Shanghai)</t>
  </si>
  <si>
    <t>Auto Revenue ($B)</t>
  </si>
  <si>
    <t>% Participating</t>
  </si>
  <si>
    <t>Billable miles per Robotaxi</t>
  </si>
  <si>
    <t>Billions of miles Billed</t>
  </si>
  <si>
    <t>TSLA Share</t>
  </si>
  <si>
    <t>TSLA Robo Cash Flow</t>
  </si>
  <si>
    <t>Model S/X</t>
  </si>
  <si>
    <t>Energy/Other Revenue</t>
  </si>
  <si>
    <t>Q1 2019</t>
  </si>
  <si>
    <t>Q4 2018</t>
  </si>
  <si>
    <t>Total Revenue</t>
  </si>
  <si>
    <t>EBITDA</t>
  </si>
  <si>
    <t>TTM EBITDA</t>
  </si>
  <si>
    <t>FWD EBITDA</t>
  </si>
  <si>
    <t>FWD EV</t>
  </si>
  <si>
    <t>TTM EV</t>
  </si>
  <si>
    <t>FSD</t>
  </si>
  <si>
    <t>FSD Cash In-take</t>
  </si>
  <si>
    <t>EOP Deferred Revenue (FSD)</t>
  </si>
  <si>
    <t>% Classed as Deferred</t>
  </si>
  <si>
    <t>FSD Revenue, new sales</t>
  </si>
  <si>
    <t>Total FSD Revenue</t>
  </si>
  <si>
    <t>ZEV Credits</t>
  </si>
  <si>
    <t>Auto Gross Margin</t>
  </si>
  <si>
    <t>Gross Margin ($B)</t>
  </si>
  <si>
    <t>Adjusted Gross Margin</t>
  </si>
  <si>
    <t>Less: FSD &amp; ZEV Rev</t>
  </si>
  <si>
    <t>Auto Gross Margin - Manufacturing &amp; Leases</t>
  </si>
  <si>
    <t>Auto Gross Margin - FSD</t>
  </si>
  <si>
    <t>Auto Gross Margin - ZEV</t>
  </si>
  <si>
    <t>Total Auto Gross Margin</t>
  </si>
  <si>
    <t>Energy Gross Margin</t>
  </si>
  <si>
    <t>Energy Gross Profit</t>
  </si>
  <si>
    <t>Total Gross Profit</t>
  </si>
  <si>
    <t>Depreciation</t>
  </si>
  <si>
    <t>Research &amp; Development</t>
  </si>
  <si>
    <t>SG&amp;A</t>
  </si>
  <si>
    <t>Other</t>
  </si>
  <si>
    <t>Total Operating Costs</t>
  </si>
  <si>
    <t>Operating Income</t>
  </si>
  <si>
    <t>Interest Income</t>
  </si>
  <si>
    <t>Interest Expense</t>
  </si>
  <si>
    <t>Other Income, net</t>
  </si>
  <si>
    <t>EBT</t>
  </si>
  <si>
    <t>Provision for Income Taxes</t>
  </si>
  <si>
    <t>Adjusments</t>
  </si>
  <si>
    <t>Adj. EBITDA</t>
  </si>
  <si>
    <t>Share Price Impact</t>
  </si>
  <si>
    <t>Cumulative Autopilot Miles (B)</t>
  </si>
  <si>
    <t>FSD Take-Rate, New Orders</t>
  </si>
  <si>
    <t>Auto Gross Margin, Excl. FSD and ZEV Credits</t>
  </si>
  <si>
    <t>Automotive Gross Margin (%)</t>
  </si>
  <si>
    <t>Shares Outstanding</t>
  </si>
  <si>
    <t>FSD Revenue, recognition of deferred</t>
  </si>
  <si>
    <t>Fleet count - End of Quarter</t>
  </si>
  <si>
    <t>FSD Upgrade Candidate Pool</t>
  </si>
  <si>
    <t>Upgrade Conversions - % of Pool</t>
  </si>
  <si>
    <t>Upgrade Conversions</t>
  </si>
  <si>
    <t>Pure Auto Revenue (Excl. FSD &amp; ZEV)</t>
  </si>
  <si>
    <t>Robotaxi Fleet Awake? (1=Yes)</t>
  </si>
  <si>
    <t>CAPEX Build-up &amp; Depreciation Waterfall</t>
  </si>
  <si>
    <t>CAPEX</t>
  </si>
  <si>
    <t>Gigafactory 2 (Solar &amp; Superchargers)</t>
  </si>
  <si>
    <t>Gigafactory 1 (Motors, Cybrtrk &amp; Semi)</t>
  </si>
  <si>
    <t>Gigafactory 3 (Phase II &amp; Phase III Completion)</t>
  </si>
  <si>
    <t>Gigafactory 4 (Model Y &amp; Model 3)</t>
  </si>
  <si>
    <t>Fremont (Model Y)</t>
  </si>
  <si>
    <t>Total CAPEX</t>
  </si>
  <si>
    <t>19 YTD</t>
  </si>
  <si>
    <t>Baseline Depreciation</t>
  </si>
  <si>
    <t>Total Depreciation</t>
  </si>
  <si>
    <t>Incremental Depreciation (Assumes 15 Year Life)</t>
  </si>
  <si>
    <t>Total Gross Margin %</t>
  </si>
  <si>
    <t>Net Income Attributable to Common</t>
  </si>
  <si>
    <t>EPS Basic, GAAP</t>
  </si>
  <si>
    <t>Stock Based Comp &amp; Dilution Adjustments</t>
  </si>
  <si>
    <t>Adjusted EPS, Non-GAAP</t>
  </si>
  <si>
    <t>EOQ Cash</t>
  </si>
  <si>
    <t>PV of Robotaxi Cash Flows</t>
  </si>
  <si>
    <t>Terminal Value</t>
  </si>
  <si>
    <t>Robotaxi Valuation</t>
  </si>
  <si>
    <t>Share Price Multiples Analysis</t>
  </si>
  <si>
    <t>TTM EPS</t>
  </si>
  <si>
    <t>FWD EPS</t>
  </si>
  <si>
    <t>Share Price - TTM EBITDA</t>
  </si>
  <si>
    <t>Share Price - FWD EBITDA</t>
  </si>
  <si>
    <t>Share Price - TTM EPS</t>
  </si>
  <si>
    <t>Share Price - FWD EPS</t>
  </si>
  <si>
    <t>TTM EBITDA Mult</t>
  </si>
  <si>
    <t>FWD EBITDA Mult</t>
  </si>
  <si>
    <t>TTM P/E Mult</t>
  </si>
  <si>
    <t>FWD P/E Mult</t>
  </si>
  <si>
    <t>&lt;-Important Variable #2</t>
  </si>
  <si>
    <t>&lt;-Important Variable #1</t>
  </si>
  <si>
    <t>&lt;-Important Variable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</si>
</sst>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_(* #,##0.0_);_(* \(#,##0.0\);_(* &quot;-&quot;??_);_(@_)"/>
    <numFmt numFmtId="165" formatCode="_(* #,##0_);_(* \(#,##0\);_(* &quot;-&quot;??_);_(@_)"/>
    <numFmt numFmtId="166" formatCode="_(&quot;$&quot;* #,##0.0_);_(&quot;$&quot;* \(#,##0.0\);_(&quot;$&quot;* &quot;-&quot;??_);_(@_)"/>
    <numFmt numFmtId="167" formatCode="_(&quot;$&quot;* #,##0_);_(&quot;$&quot;* \(#,##0\);_(&quot;$&quot;* &quot;-&quot;??_);_(@_)"/>
    <numFmt numFmtId="168" formatCode="0.0%"/>
    <numFmt numFmtId="169" formatCode="0.000"/>
    <numFmt numFmtId="171" formatCode="_(&quot;$&quot;* #,##0.000_);_(&quot;$&quot;* \(#,##0.000\);_(&quot;$&quot;* &quot;-&quot;??_);_(@_)"/>
  </numFmts>
  <fonts count="13" x14ac:knownFonts="1">
    <font>
      <sz val="11"/>
      <color theme="1"/>
      <name val="Calibri"/>
      <family val="2"/>
      <scheme val="minor"/>
    </font>
    <font>
      <sz val="11"/>
      <color theme="1"/>
      <name val="Calibri"/>
      <family val="2"/>
      <scheme val="minor"/>
    </font>
    <font>
      <sz val="11"/>
      <color theme="1"/>
      <name val="Arial Narrow"/>
      <family val="2"/>
    </font>
    <font>
      <b/>
      <sz val="11"/>
      <color theme="1"/>
      <name val="Arial Narrow"/>
      <family val="2"/>
    </font>
    <font>
      <sz val="11"/>
      <color rgb="FF0070C0"/>
      <name val="Arial Narrow"/>
      <family val="2"/>
    </font>
    <font>
      <sz val="11"/>
      <color rgb="FF0070C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0070C0"/>
      <name val="Arial Narrow"/>
      <family val="2"/>
    </font>
    <font>
      <b/>
      <sz val="11"/>
      <name val="Arial Narrow"/>
      <family val="2"/>
    </font>
    <font>
      <sz val="11"/>
      <name val="Arial Narrow"/>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9" tint="0.79998168889431442"/>
        <bgColor indexed="64"/>
      </patternFill>
    </fill>
  </fills>
  <borders count="18">
    <border>
      <left/>
      <right/>
      <top/>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0" fontId="2" fillId="3" borderId="0" xfId="0" applyFont="1" applyFill="1"/>
    <xf numFmtId="0" fontId="3" fillId="3" borderId="0" xfId="0" applyFont="1" applyFill="1"/>
    <xf numFmtId="165" fontId="2" fillId="3" borderId="0" xfId="1" applyNumberFormat="1" applyFont="1" applyFill="1"/>
    <xf numFmtId="6" fontId="2" fillId="3" borderId="0" xfId="0" applyNumberFormat="1" applyFont="1" applyFill="1"/>
    <xf numFmtId="0" fontId="3" fillId="3" borderId="1" xfId="0" applyFont="1" applyFill="1" applyBorder="1"/>
    <xf numFmtId="165" fontId="2" fillId="2" borderId="0" xfId="1" applyNumberFormat="1" applyFont="1" applyFill="1"/>
    <xf numFmtId="44" fontId="2" fillId="3" borderId="0" xfId="2" applyFont="1" applyFill="1"/>
    <xf numFmtId="166" fontId="2" fillId="3" borderId="0" xfId="2" applyNumberFormat="1" applyFont="1" applyFill="1"/>
    <xf numFmtId="9" fontId="2" fillId="3" borderId="0" xfId="3" applyFont="1" applyFill="1"/>
    <xf numFmtId="165" fontId="2" fillId="3" borderId="0" xfId="0" applyNumberFormat="1" applyFont="1" applyFill="1"/>
    <xf numFmtId="167" fontId="2" fillId="3" borderId="0" xfId="2" applyNumberFormat="1" applyFont="1" applyFill="1"/>
    <xf numFmtId="165" fontId="3" fillId="3" borderId="0" xfId="1" applyNumberFormat="1" applyFont="1" applyFill="1"/>
    <xf numFmtId="165" fontId="4" fillId="3" borderId="0" xfId="1" applyNumberFormat="1" applyFont="1" applyFill="1"/>
    <xf numFmtId="44" fontId="5" fillId="0" borderId="0" xfId="2" applyFont="1"/>
    <xf numFmtId="168" fontId="2" fillId="3" borderId="0" xfId="3" applyNumberFormat="1" applyFont="1" applyFill="1"/>
    <xf numFmtId="166" fontId="4" fillId="3" borderId="0" xfId="2" applyNumberFormat="1" applyFont="1" applyFill="1"/>
    <xf numFmtId="166" fontId="2" fillId="3" borderId="2" xfId="2" applyNumberFormat="1" applyFont="1" applyFill="1" applyBorder="1"/>
    <xf numFmtId="166" fontId="2" fillId="3" borderId="2" xfId="0" applyNumberFormat="1" applyFont="1" applyFill="1" applyBorder="1"/>
    <xf numFmtId="166" fontId="4" fillId="3" borderId="0" xfId="0" applyNumberFormat="1" applyFont="1" applyFill="1"/>
    <xf numFmtId="9" fontId="4" fillId="3" borderId="0" xfId="3" applyFont="1" applyFill="1"/>
    <xf numFmtId="169" fontId="4" fillId="3" borderId="0" xfId="0" applyNumberFormat="1" applyFont="1" applyFill="1"/>
    <xf numFmtId="164" fontId="4" fillId="3" borderId="0" xfId="1" applyNumberFormat="1" applyFont="1" applyFill="1"/>
    <xf numFmtId="44" fontId="4" fillId="3" borderId="0" xfId="2" applyFont="1" applyFill="1"/>
    <xf numFmtId="166" fontId="3" fillId="3" borderId="0" xfId="2" applyNumberFormat="1" applyFont="1" applyFill="1"/>
    <xf numFmtId="164" fontId="2" fillId="3" borderId="0" xfId="1" applyNumberFormat="1" applyFont="1" applyFill="1"/>
    <xf numFmtId="166" fontId="2" fillId="3" borderId="0" xfId="0" applyNumberFormat="1" applyFont="1" applyFill="1"/>
    <xf numFmtId="168" fontId="4" fillId="3" borderId="0" xfId="3" applyNumberFormat="1" applyFont="1" applyFill="1"/>
    <xf numFmtId="44" fontId="2" fillId="3" borderId="0" xfId="0" applyNumberFormat="1" applyFont="1" applyFill="1"/>
    <xf numFmtId="14" fontId="2" fillId="3" borderId="0" xfId="0" applyNumberFormat="1" applyFont="1" applyFill="1"/>
    <xf numFmtId="6" fontId="4" fillId="3" borderId="0" xfId="0" applyNumberFormat="1" applyFont="1" applyFill="1"/>
    <xf numFmtId="171" fontId="4" fillId="3" borderId="0" xfId="2" applyNumberFormat="1" applyFont="1" applyFill="1"/>
    <xf numFmtId="44" fontId="4" fillId="3" borderId="2" xfId="2" applyNumberFormat="1" applyFont="1" applyFill="1" applyBorder="1"/>
    <xf numFmtId="166" fontId="4" fillId="3" borderId="0" xfId="2" applyNumberFormat="1" applyFont="1" applyFill="1" applyBorder="1"/>
    <xf numFmtId="171" fontId="2" fillId="3" borderId="0" xfId="2" applyNumberFormat="1" applyFont="1" applyFill="1"/>
    <xf numFmtId="168" fontId="3" fillId="3" borderId="0" xfId="3" applyNumberFormat="1" applyFont="1" applyFill="1"/>
    <xf numFmtId="171" fontId="2" fillId="3" borderId="0" xfId="1" applyNumberFormat="1" applyFont="1" applyFill="1"/>
    <xf numFmtId="171" fontId="3" fillId="3" borderId="0" xfId="2" applyNumberFormat="1" applyFont="1" applyFill="1"/>
    <xf numFmtId="171" fontId="2" fillId="3" borderId="2" xfId="2" applyNumberFormat="1" applyFont="1" applyFill="1" applyBorder="1"/>
    <xf numFmtId="166" fontId="4" fillId="3" borderId="2" xfId="2" applyNumberFormat="1" applyFont="1" applyFill="1" applyBorder="1"/>
    <xf numFmtId="166" fontId="2" fillId="3" borderId="0" xfId="2" applyNumberFormat="1" applyFont="1" applyFill="1" applyBorder="1"/>
    <xf numFmtId="164" fontId="2" fillId="4" borderId="0" xfId="1" applyNumberFormat="1" applyFont="1" applyFill="1"/>
    <xf numFmtId="165" fontId="3" fillId="2" borderId="0" xfId="1" applyNumberFormat="1" applyFont="1" applyFill="1"/>
    <xf numFmtId="165" fontId="2" fillId="3" borderId="0" xfId="1" applyNumberFormat="1" applyFont="1" applyFill="1" applyBorder="1"/>
    <xf numFmtId="43" fontId="2" fillId="3" borderId="0" xfId="1" applyFont="1" applyFill="1"/>
    <xf numFmtId="9" fontId="4" fillId="3" borderId="0" xfId="3" applyNumberFormat="1" applyFont="1" applyFill="1"/>
    <xf numFmtId="0" fontId="2" fillId="3" borderId="0" xfId="0" applyFont="1" applyFill="1" applyAlignment="1">
      <alignment horizontal="left" indent="1"/>
    </xf>
    <xf numFmtId="166" fontId="4" fillId="3" borderId="3" xfId="2" applyNumberFormat="1" applyFont="1" applyFill="1" applyBorder="1"/>
    <xf numFmtId="166" fontId="4" fillId="3" borderId="4" xfId="2" applyNumberFormat="1" applyFont="1" applyFill="1" applyBorder="1"/>
    <xf numFmtId="166" fontId="4" fillId="3" borderId="5" xfId="2" applyNumberFormat="1" applyFont="1" applyFill="1" applyBorder="1"/>
    <xf numFmtId="0" fontId="2" fillId="3" borderId="4" xfId="0" applyFont="1" applyFill="1" applyBorder="1"/>
    <xf numFmtId="164" fontId="3" fillId="3" borderId="0" xfId="1" applyNumberFormat="1" applyFont="1" applyFill="1"/>
    <xf numFmtId="164" fontId="2" fillId="3" borderId="2" xfId="1" applyNumberFormat="1" applyFont="1" applyFill="1" applyBorder="1"/>
    <xf numFmtId="167" fontId="4" fillId="3" borderId="2" xfId="2" applyNumberFormat="1" applyFont="1" applyFill="1" applyBorder="1"/>
    <xf numFmtId="44" fontId="11" fillId="3" borderId="0" xfId="2" applyFont="1" applyFill="1"/>
    <xf numFmtId="44" fontId="12" fillId="3" borderId="0" xfId="2" applyFont="1" applyFill="1"/>
    <xf numFmtId="171" fontId="3" fillId="3" borderId="6" xfId="2" applyNumberFormat="1" applyFont="1" applyFill="1" applyBorder="1"/>
    <xf numFmtId="166" fontId="12" fillId="3" borderId="5" xfId="2" applyNumberFormat="1" applyFont="1" applyFill="1" applyBorder="1"/>
    <xf numFmtId="166" fontId="12" fillId="3" borderId="0" xfId="2" applyNumberFormat="1" applyFont="1" applyFill="1" applyBorder="1"/>
    <xf numFmtId="166" fontId="11" fillId="3" borderId="0" xfId="2" applyNumberFormat="1" applyFont="1" applyFill="1" applyBorder="1"/>
    <xf numFmtId="166" fontId="10" fillId="3" borderId="0" xfId="2" applyNumberFormat="1" applyFont="1" applyFill="1" applyBorder="1"/>
    <xf numFmtId="0" fontId="3" fillId="5" borderId="7" xfId="0" applyFont="1" applyFill="1" applyBorder="1"/>
    <xf numFmtId="0" fontId="2" fillId="5" borderId="8" xfId="0" applyFont="1" applyFill="1" applyBorder="1"/>
    <xf numFmtId="44" fontId="3" fillId="5" borderId="9" xfId="2" applyFont="1" applyFill="1" applyBorder="1"/>
    <xf numFmtId="165" fontId="10" fillId="3" borderId="0" xfId="1" applyNumberFormat="1" applyFont="1" applyFill="1"/>
    <xf numFmtId="167" fontId="2" fillId="2" borderId="0" xfId="2" applyNumberFormat="1" applyFont="1" applyFill="1"/>
    <xf numFmtId="9" fontId="4" fillId="3" borderId="0" xfId="3" applyFont="1" applyFill="1" applyBorder="1"/>
    <xf numFmtId="0" fontId="2" fillId="3" borderId="10" xfId="0" applyFont="1" applyFill="1" applyBorder="1"/>
    <xf numFmtId="0" fontId="2" fillId="3" borderId="11" xfId="0" applyFont="1" applyFill="1" applyBorder="1"/>
    <xf numFmtId="165" fontId="2" fillId="3" borderId="11" xfId="1" applyNumberFormat="1" applyFont="1" applyFill="1" applyBorder="1"/>
    <xf numFmtId="0" fontId="2" fillId="3" borderId="13" xfId="0" applyFont="1" applyFill="1" applyBorder="1"/>
    <xf numFmtId="0" fontId="2" fillId="3" borderId="0" xfId="0" applyFont="1" applyFill="1" applyBorder="1"/>
    <xf numFmtId="0" fontId="2" fillId="3" borderId="15" xfId="0" applyFont="1" applyFill="1" applyBorder="1"/>
    <xf numFmtId="0" fontId="2" fillId="3" borderId="16" xfId="0" applyFont="1" applyFill="1" applyBorder="1"/>
    <xf numFmtId="167" fontId="3" fillId="6" borderId="11" xfId="2" applyNumberFormat="1" applyFont="1" applyFill="1" applyBorder="1"/>
    <xf numFmtId="167" fontId="3" fillId="6" borderId="12" xfId="2" applyNumberFormat="1" applyFont="1" applyFill="1" applyBorder="1"/>
    <xf numFmtId="167" fontId="3" fillId="6" borderId="0" xfId="2" applyNumberFormat="1" applyFont="1" applyFill="1" applyBorder="1"/>
    <xf numFmtId="167" fontId="3" fillId="6" borderId="14" xfId="2" applyNumberFormat="1" applyFont="1" applyFill="1" applyBorder="1"/>
    <xf numFmtId="166" fontId="3" fillId="6" borderId="0" xfId="2" applyNumberFormat="1" applyFont="1" applyFill="1" applyBorder="1"/>
    <xf numFmtId="167" fontId="3" fillId="6" borderId="16" xfId="2" applyNumberFormat="1" applyFont="1" applyFill="1" applyBorder="1"/>
    <xf numFmtId="167" fontId="3" fillId="6" borderId="17" xfId="2" applyNumberFormat="1" applyFon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tthew C. Smith" id="{5D6113AA-BF75-47E9-A5D5-1E4752DA0807}" userId="S::MATTHEW.C.SMITH@cmsenergy.com::83b4ab7e-59bc-4a4e-9a0c-4e796f68e4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19-12-11T21:07:12.91" personId="{5D6113AA-BF75-47E9-A5D5-1E4752DA0807}" id="{C584ABE3-EFE5-4B17-A32A-ED7E0FF0AD6F}">
    <text>Many geographies have higher FSD price than US.</text>
  </threadedComment>
  <threadedComment ref="E23" dT="2019-12-11T21:14:04.97" personId="{5D6113AA-BF75-47E9-A5D5-1E4752DA0807}" id="{16758B88-3EA6-442B-B6B7-04A871669E9B}">
    <text>Used this assumption as forcing function to get the model to agree with reported auto revenue. Full range of assumptions available here: https://twitter.com/MatchasmMatt/status/1204525719755382784</text>
  </threadedComment>
  <threadedComment ref="E24" dT="2019-12-10T22:28:05.41" personId="{5D6113AA-BF75-47E9-A5D5-1E4752DA0807}" id="{81B30D38-F20C-4735-9546-5739448A8841}">
    <text>$662M of deferred rev. recognizable in 12 months. Reduced to $500M to account for premium connectivity, supercharger depreciation, and other items in the $662M bucket</text>
  </threadedComment>
  <threadedComment ref="E26" dT="2019-12-11T21:05:37.97" personId="{5D6113AA-BF75-47E9-A5D5-1E4752DA0807}" id="{C224C6A9-0BE5-4022-954D-D6A081F3E10E}">
    <text>Disclosed. Related to Autosummon</text>
  </threadedComment>
  <threadedComment ref="E28" dT="2019-12-12T15:50:30.87" personId="{5D6113AA-BF75-47E9-A5D5-1E4752DA0807}" id="{B07BED3D-7AD2-4997-A7D7-E65F03282924}">
    <text>$2B in ZEV credits with FCA announced, so $100M per Q is likely conservative</text>
  </threadedComment>
  <threadedComment ref="E30" dT="2019-12-11T21:11:00.11" personId="{5D6113AA-BF75-47E9-A5D5-1E4752DA0807}" id="{D389009D-1910-4EEA-A684-6FF03EADAD99}">
    <text>Total auto revenues were $5.353B. Note this model uses a build-up assuming all sales for simplicity, but actuals include leases, sales of used vehicles and service revenues.</text>
  </threadedComment>
  <threadedComment ref="F31" dT="2019-12-12T15:49:37.87" personId="{5D6113AA-BF75-47E9-A5D5-1E4752DA0807}" id="{0B397B68-336D-490E-BC6D-EF51A8FA15B8}">
    <text>Assumes rapid 15% growth per quarter as battery and solar business are re-emphasized. Margins expected to remain low.</text>
  </threadedComment>
  <threadedComment ref="F40" dT="2019-12-12T15:52:46.04" personId="{5D6113AA-BF75-47E9-A5D5-1E4752DA0807}" id="{E51FFE9E-4867-44B7-84AE-BAE93AB96797}">
    <text>Assuming moderat increase in Q4 due to price increases and higher production at Fremont. Partially offset by ramp at Giga 3, but this impact will be stronger in Q1</text>
  </threadedComment>
  <threadedComment ref="E47" dT="2019-12-11T21:18:28.54" personId="{5D6113AA-BF75-47E9-A5D5-1E4752DA0807}" id="{F1BB1442-2CF4-47B4-AC50-49B0C72537F2}">
    <text>Forcing function to get accurate gross profit figure.</text>
  </threadedComment>
  <threadedComment ref="F54" dT="2019-12-12T15:45:41.59" personId="{5D6113AA-BF75-47E9-A5D5-1E4752DA0807}" id="{776DF9A5-74F9-4D6A-80A7-5E05F8BBB896}">
    <text>Anticipate fairly significant uptick in SG&amp;A and R&amp;D, as job postings have significantly increased and new facilities are opening. Assuming 15% increase in Q4, 10% each Q thereafter</text>
  </threadedComment>
  <threadedComment ref="F67" dT="2019-12-11T21:31:34.23" personId="{5D6113AA-BF75-47E9-A5D5-1E4752DA0807}" id="{9A5CF0B2-3C5A-4C48-8723-642D6DAA861C}">
    <text>Adjustments will continue to include stock based comp, which seems likely to increase over time. Leaving flat for conservatism.</text>
  </threadedComment>
  <threadedComment ref="F97" dT="2019-12-11T20:26:18.28" personId="{5D6113AA-BF75-47E9-A5D5-1E4752DA0807}" id="{30179754-6528-4C12-AA04-670507E7AF25}">
    <text>~$700M in CIP at end of Q3, estimating $500M related to Giga 3 This brings total to $1.5B</text>
  </threadedComment>
  <threadedComment ref="F102" dT="2019-12-12T22:14:33.71" personId="{5D6113AA-BF75-47E9-A5D5-1E4752DA0807}" id="{6C90F28A-9F7A-4CEF-88FC-654C39515344}">
    <text>These numbers are likely conservative since they assume no debt financing, and exclude impact of negative working capital on growing revenue base.</text>
  </threadedComment>
  <threadedComment ref="F116" dT="2019-12-12T20:49:49.96" personId="{5D6113AA-BF75-47E9-A5D5-1E4752DA0807}" id="{FD0BC9C1-3BAC-4D2E-83A1-0D73F0B27E42}">
    <text>Technically this should be discounted back to the present, but it seems unlikely the robotaxi thesis will be priced into the stock in the near term.</text>
  </threadedComment>
  <threadedComment ref="F117" dT="2019-12-12T15:56:09.45" personId="{5D6113AA-BF75-47E9-A5D5-1E4752DA0807}" id="{8D1DB665-9610-4A2E-9011-4789B33F2D75}">
    <text>Note that this valuation is separate from the rest of $TSLA share price. Therefore this figure should be added to the "backstop" price of the auto/energy business to get full share price of company if Robotaxi business model is effectuated.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52DD-AB9A-4689-923D-B726BBF9EADB}">
  <dimension ref="A1:XFD119"/>
  <sheetViews>
    <sheetView tabSelected="1" zoomScale="90" zoomScaleNormal="90" workbookViewId="0">
      <pane ySplit="2" topLeftCell="A3" activePane="bottomLeft" state="frozen"/>
      <selection pane="bottomLeft" activeCell="BB24" sqref="BB24"/>
    </sheetView>
  </sheetViews>
  <sheetFormatPr defaultColWidth="9.140625" defaultRowHeight="16.5" outlineLevelRow="1" outlineLevelCol="1" x14ac:dyDescent="0.3"/>
  <cols>
    <col min="1" max="1" width="37.28515625" style="1" customWidth="1"/>
    <col min="2" max="3" width="10.85546875" style="1" hidden="1" customWidth="1" outlineLevel="1"/>
    <col min="4" max="4" width="8.5703125" style="1" hidden="1" customWidth="1" outlineLevel="1"/>
    <col min="5" max="5" width="11.42578125" style="1" customWidth="1" collapsed="1"/>
    <col min="6" max="14" width="9.85546875" style="1" customWidth="1"/>
    <col min="15" max="19" width="9.85546875" style="1" hidden="1" customWidth="1" outlineLevel="1"/>
    <col min="20" max="20" width="20" style="1" hidden="1" customWidth="1" outlineLevel="1"/>
    <col min="21" max="21" width="14.5703125" style="1" hidden="1" customWidth="1" outlineLevel="1"/>
    <col min="22" max="32" width="9.85546875" style="1" hidden="1" customWidth="1" outlineLevel="1"/>
    <col min="33" max="33" width="17" style="1" hidden="1" customWidth="1" outlineLevel="1"/>
    <col min="34" max="34" width="9.85546875" style="1" hidden="1" customWidth="1" outlineLevel="1"/>
    <col min="35" max="35" width="11.140625" style="1" hidden="1" customWidth="1" outlineLevel="1"/>
    <col min="36" max="36" width="17" style="1" hidden="1" customWidth="1" outlineLevel="1"/>
    <col min="37" max="50" width="9.85546875" style="1" hidden="1" customWidth="1" outlineLevel="1"/>
    <col min="51" max="51" width="9.140625" style="1" collapsed="1"/>
    <col min="52" max="16384" width="9.140625" style="1"/>
  </cols>
  <sheetData>
    <row r="1" spans="1:16384" x14ac:dyDescent="0.3">
      <c r="H1" s="9"/>
    </row>
    <row r="2" spans="1:16384" s="5" customFormat="1" ht="17.25" thickBot="1" x14ac:dyDescent="0.35">
      <c r="B2" s="5" t="s">
        <v>61</v>
      </c>
      <c r="C2" s="5" t="s">
        <v>60</v>
      </c>
      <c r="D2" s="5" t="s">
        <v>1</v>
      </c>
      <c r="E2" s="5" t="s">
        <v>2</v>
      </c>
      <c r="F2" s="5" t="s">
        <v>27</v>
      </c>
      <c r="G2" s="5" t="s">
        <v>26</v>
      </c>
      <c r="H2" s="5" t="s">
        <v>3</v>
      </c>
      <c r="I2" s="5" t="s">
        <v>4</v>
      </c>
      <c r="J2" s="5" t="s">
        <v>25</v>
      </c>
      <c r="K2" s="5" t="s">
        <v>29</v>
      </c>
      <c r="L2" s="5" t="s">
        <v>5</v>
      </c>
      <c r="M2" s="5" t="s">
        <v>6</v>
      </c>
      <c r="N2" s="5" t="s">
        <v>28</v>
      </c>
      <c r="O2" s="5" t="s">
        <v>31</v>
      </c>
      <c r="P2" s="5" t="s">
        <v>7</v>
      </c>
      <c r="Q2" s="5" t="s">
        <v>8</v>
      </c>
      <c r="R2" s="5" t="s">
        <v>30</v>
      </c>
      <c r="S2" s="5" t="s">
        <v>33</v>
      </c>
      <c r="T2" s="5" t="s">
        <v>9</v>
      </c>
      <c r="U2" s="5" t="s">
        <v>10</v>
      </c>
      <c r="V2" s="5" t="s">
        <v>32</v>
      </c>
      <c r="W2" s="5" t="s">
        <v>35</v>
      </c>
      <c r="X2" s="5" t="s">
        <v>11</v>
      </c>
      <c r="Y2" s="5" t="s">
        <v>12</v>
      </c>
      <c r="Z2" s="5" t="s">
        <v>34</v>
      </c>
      <c r="AA2" s="5" t="s">
        <v>37</v>
      </c>
      <c r="AB2" s="5" t="s">
        <v>13</v>
      </c>
      <c r="AC2" s="5" t="s">
        <v>14</v>
      </c>
      <c r="AD2" s="5" t="s">
        <v>36</v>
      </c>
      <c r="AE2" s="5" t="s">
        <v>39</v>
      </c>
      <c r="AF2" s="5" t="s">
        <v>15</v>
      </c>
      <c r="AG2" s="5" t="s">
        <v>16</v>
      </c>
      <c r="AH2" s="5" t="s">
        <v>38</v>
      </c>
      <c r="AI2" s="5" t="s">
        <v>41</v>
      </c>
      <c r="AJ2" s="5" t="s">
        <v>17</v>
      </c>
      <c r="AK2" s="5" t="s">
        <v>18</v>
      </c>
      <c r="AL2" s="5" t="s">
        <v>40</v>
      </c>
      <c r="AM2" s="5" t="s">
        <v>43</v>
      </c>
      <c r="AN2" s="5" t="s">
        <v>19</v>
      </c>
      <c r="AO2" s="5" t="s">
        <v>20</v>
      </c>
      <c r="AP2" s="5" t="s">
        <v>42</v>
      </c>
      <c r="AQ2" s="5" t="s">
        <v>45</v>
      </c>
      <c r="AR2" s="5" t="s">
        <v>21</v>
      </c>
      <c r="AS2" s="5" t="s">
        <v>22</v>
      </c>
      <c r="AT2" s="5" t="s">
        <v>44</v>
      </c>
      <c r="AU2" s="5" t="s">
        <v>47</v>
      </c>
      <c r="AV2" s="5" t="s">
        <v>23</v>
      </c>
      <c r="AW2" s="5" t="s">
        <v>48</v>
      </c>
      <c r="AX2" s="5" t="s">
        <v>46</v>
      </c>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c r="XFC2" s="1"/>
      <c r="XFD2" s="1"/>
    </row>
    <row r="3" spans="1:16384" x14ac:dyDescent="0.3">
      <c r="A3" s="2" t="s">
        <v>49</v>
      </c>
      <c r="B3" s="2"/>
      <c r="C3" s="2"/>
    </row>
    <row r="4" spans="1:16384" x14ac:dyDescent="0.3">
      <c r="A4" s="1" t="s">
        <v>0</v>
      </c>
      <c r="D4" s="30">
        <f>E4</f>
        <v>44000</v>
      </c>
      <c r="E4" s="30">
        <v>44000</v>
      </c>
      <c r="F4" s="30">
        <f>E4+800</f>
        <v>44800</v>
      </c>
      <c r="G4" s="30">
        <f>F4</f>
        <v>44800</v>
      </c>
      <c r="H4" s="30">
        <f t="shared" ref="H4:N4" si="0">G4</f>
        <v>44800</v>
      </c>
      <c r="I4" s="30">
        <f t="shared" si="0"/>
        <v>44800</v>
      </c>
      <c r="J4" s="30">
        <f t="shared" si="0"/>
        <v>44800</v>
      </c>
      <c r="K4" s="30">
        <f t="shared" si="0"/>
        <v>44800</v>
      </c>
      <c r="L4" s="30">
        <f t="shared" si="0"/>
        <v>44800</v>
      </c>
      <c r="M4" s="30">
        <f t="shared" si="0"/>
        <v>44800</v>
      </c>
      <c r="N4" s="30">
        <f t="shared" si="0"/>
        <v>44800</v>
      </c>
      <c r="O4" s="30">
        <f t="shared" ref="O4:V4" si="1">N4</f>
        <v>44800</v>
      </c>
      <c r="P4" s="30">
        <f t="shared" si="1"/>
        <v>44800</v>
      </c>
      <c r="Q4" s="30">
        <f t="shared" si="1"/>
        <v>44800</v>
      </c>
      <c r="R4" s="30">
        <f t="shared" si="1"/>
        <v>44800</v>
      </c>
      <c r="S4" s="30">
        <f t="shared" si="1"/>
        <v>44800</v>
      </c>
      <c r="T4" s="4">
        <f t="shared" si="1"/>
        <v>44800</v>
      </c>
      <c r="U4" s="4">
        <f t="shared" si="1"/>
        <v>44800</v>
      </c>
      <c r="V4" s="4">
        <f t="shared" si="1"/>
        <v>44800</v>
      </c>
      <c r="W4" s="4">
        <f t="shared" ref="W4" si="2">V4</f>
        <v>44800</v>
      </c>
    </row>
    <row r="5" spans="1:16384" x14ac:dyDescent="0.3">
      <c r="A5" s="1" t="s">
        <v>58</v>
      </c>
      <c r="D5" s="30">
        <f>E5</f>
        <v>88000</v>
      </c>
      <c r="E5" s="30">
        <v>88000</v>
      </c>
      <c r="F5" s="30">
        <f>E5</f>
        <v>88000</v>
      </c>
      <c r="G5" s="30">
        <f t="shared" ref="G5:N5" si="3">F5</f>
        <v>88000</v>
      </c>
      <c r="H5" s="30">
        <f t="shared" si="3"/>
        <v>88000</v>
      </c>
      <c r="I5" s="30">
        <f t="shared" si="3"/>
        <v>88000</v>
      </c>
      <c r="J5" s="30">
        <f t="shared" si="3"/>
        <v>88000</v>
      </c>
      <c r="K5" s="30">
        <f t="shared" si="3"/>
        <v>88000</v>
      </c>
      <c r="L5" s="30">
        <f t="shared" si="3"/>
        <v>88000</v>
      </c>
      <c r="M5" s="30">
        <f t="shared" si="3"/>
        <v>88000</v>
      </c>
      <c r="N5" s="30">
        <f t="shared" si="3"/>
        <v>88000</v>
      </c>
      <c r="O5" s="30">
        <f t="shared" ref="O5:V6" si="4">N5</f>
        <v>88000</v>
      </c>
      <c r="P5" s="30">
        <f t="shared" si="4"/>
        <v>88000</v>
      </c>
      <c r="Q5" s="30">
        <f t="shared" si="4"/>
        <v>88000</v>
      </c>
      <c r="R5" s="30">
        <f t="shared" si="4"/>
        <v>88000</v>
      </c>
      <c r="S5" s="30">
        <f t="shared" si="4"/>
        <v>88000</v>
      </c>
      <c r="T5" s="4">
        <f t="shared" si="4"/>
        <v>88000</v>
      </c>
      <c r="U5" s="4">
        <f t="shared" si="4"/>
        <v>88000</v>
      </c>
      <c r="V5" s="4">
        <f t="shared" si="4"/>
        <v>88000</v>
      </c>
      <c r="W5" s="4">
        <f t="shared" ref="W5" si="5">V5</f>
        <v>88000</v>
      </c>
    </row>
    <row r="6" spans="1:16384" x14ac:dyDescent="0.3">
      <c r="A6" s="1" t="s">
        <v>24</v>
      </c>
      <c r="D6" s="30"/>
      <c r="E6" s="30"/>
      <c r="F6" s="30"/>
      <c r="G6" s="30"/>
      <c r="H6" s="30">
        <v>52000</v>
      </c>
      <c r="I6" s="30">
        <f>H6</f>
        <v>52000</v>
      </c>
      <c r="J6" s="30">
        <f t="shared" ref="J6:N6" si="6">I6</f>
        <v>52000</v>
      </c>
      <c r="K6" s="30">
        <f t="shared" si="6"/>
        <v>52000</v>
      </c>
      <c r="L6" s="30">
        <f t="shared" si="6"/>
        <v>52000</v>
      </c>
      <c r="M6" s="30">
        <f t="shared" si="6"/>
        <v>52000</v>
      </c>
      <c r="N6" s="30">
        <f t="shared" si="6"/>
        <v>52000</v>
      </c>
      <c r="O6" s="30">
        <f t="shared" si="4"/>
        <v>52000</v>
      </c>
      <c r="P6" s="30">
        <f t="shared" si="4"/>
        <v>52000</v>
      </c>
      <c r="Q6" s="30">
        <f t="shared" si="4"/>
        <v>52000</v>
      </c>
      <c r="R6" s="30">
        <f t="shared" si="4"/>
        <v>52000</v>
      </c>
      <c r="S6" s="30">
        <f t="shared" si="4"/>
        <v>52000</v>
      </c>
      <c r="T6" s="4">
        <v>60000</v>
      </c>
      <c r="U6" s="4">
        <v>60000</v>
      </c>
      <c r="V6" s="4">
        <v>60000</v>
      </c>
      <c r="W6" s="4">
        <v>60000</v>
      </c>
    </row>
    <row r="7" spans="1:16384" x14ac:dyDescent="0.3">
      <c r="A7" s="1" t="s">
        <v>68</v>
      </c>
      <c r="D7" s="30"/>
      <c r="E7" s="30">
        <v>6500</v>
      </c>
      <c r="F7" s="30">
        <v>7000</v>
      </c>
      <c r="G7" s="30">
        <v>7500</v>
      </c>
      <c r="H7" s="30">
        <v>8000</v>
      </c>
      <c r="I7" s="30">
        <v>9000</v>
      </c>
      <c r="J7" s="30">
        <v>10000</v>
      </c>
      <c r="K7" s="30">
        <f>J7+1000</f>
        <v>11000</v>
      </c>
      <c r="L7" s="30">
        <f t="shared" ref="L7:S7" si="7">K7+1000</f>
        <v>12000</v>
      </c>
      <c r="M7" s="30">
        <f t="shared" si="7"/>
        <v>13000</v>
      </c>
      <c r="N7" s="30">
        <f t="shared" si="7"/>
        <v>14000</v>
      </c>
      <c r="O7" s="30">
        <f t="shared" si="7"/>
        <v>15000</v>
      </c>
      <c r="P7" s="30">
        <f t="shared" si="7"/>
        <v>16000</v>
      </c>
      <c r="Q7" s="30">
        <f t="shared" si="7"/>
        <v>17000</v>
      </c>
      <c r="R7" s="30">
        <f t="shared" si="7"/>
        <v>18000</v>
      </c>
      <c r="S7" s="30">
        <f t="shared" si="7"/>
        <v>19000</v>
      </c>
      <c r="T7" s="4"/>
      <c r="U7" s="4"/>
      <c r="V7" s="4"/>
      <c r="W7" s="4"/>
      <c r="AY7" s="1" t="s">
        <v>145</v>
      </c>
    </row>
    <row r="8" spans="1:16384" x14ac:dyDescent="0.3">
      <c r="F8" s="10"/>
      <c r="G8" s="10"/>
      <c r="H8" s="10"/>
      <c r="I8" s="10"/>
      <c r="J8" s="10"/>
      <c r="K8" s="10"/>
    </row>
    <row r="9" spans="1:16384" x14ac:dyDescent="0.3">
      <c r="A9" s="2" t="s">
        <v>50</v>
      </c>
      <c r="B9" s="2"/>
      <c r="C9" s="2"/>
      <c r="D9" s="4"/>
      <c r="E9" s="4"/>
      <c r="F9" s="10"/>
      <c r="G9" s="4"/>
      <c r="H9" s="4"/>
      <c r="I9" s="4"/>
      <c r="J9" s="4"/>
      <c r="K9" s="4"/>
      <c r="L9" s="4"/>
    </row>
    <row r="10" spans="1:16384" x14ac:dyDescent="0.3">
      <c r="A10" s="1" t="s">
        <v>0</v>
      </c>
      <c r="C10" s="3">
        <v>50900</v>
      </c>
      <c r="D10" s="13">
        <v>77634</v>
      </c>
      <c r="E10" s="13">
        <v>79703</v>
      </c>
      <c r="F10" s="43">
        <v>84000</v>
      </c>
      <c r="G10" s="43">
        <f>6000*13</f>
        <v>78000</v>
      </c>
      <c r="H10" s="43">
        <f t="shared" ref="H10:J10" si="8">6500*13</f>
        <v>84500</v>
      </c>
      <c r="I10" s="43">
        <f t="shared" si="8"/>
        <v>84500</v>
      </c>
      <c r="J10" s="43">
        <f t="shared" si="8"/>
        <v>84500</v>
      </c>
      <c r="K10" s="43">
        <f>7000*13</f>
        <v>91000</v>
      </c>
      <c r="L10" s="3">
        <f t="shared" ref="L10:W10" si="9">7000*13</f>
        <v>91000</v>
      </c>
      <c r="M10" s="3">
        <f t="shared" si="9"/>
        <v>91000</v>
      </c>
      <c r="N10" s="3">
        <f>M10*1.1</f>
        <v>100100.00000000001</v>
      </c>
      <c r="O10" s="3">
        <f t="shared" ref="O10:S10" si="10">N10*1.1</f>
        <v>110110.00000000003</v>
      </c>
      <c r="P10" s="3">
        <f t="shared" si="10"/>
        <v>121121.00000000004</v>
      </c>
      <c r="Q10" s="3">
        <f t="shared" si="10"/>
        <v>133233.10000000006</v>
      </c>
      <c r="R10" s="3">
        <f t="shared" si="10"/>
        <v>146556.41000000009</v>
      </c>
      <c r="S10" s="3">
        <f t="shared" si="10"/>
        <v>161212.05100000012</v>
      </c>
      <c r="T10" s="3">
        <f t="shared" si="9"/>
        <v>91000</v>
      </c>
      <c r="U10" s="3">
        <f t="shared" si="9"/>
        <v>91000</v>
      </c>
      <c r="V10" s="3">
        <f t="shared" si="9"/>
        <v>91000</v>
      </c>
      <c r="W10" s="3">
        <f t="shared" si="9"/>
        <v>91000</v>
      </c>
    </row>
    <row r="11" spans="1:16384" x14ac:dyDescent="0.3">
      <c r="A11" s="1" t="s">
        <v>58</v>
      </c>
      <c r="C11" s="3">
        <v>10600</v>
      </c>
      <c r="D11" s="13">
        <v>17722</v>
      </c>
      <c r="E11" s="13">
        <v>17483</v>
      </c>
      <c r="F11" s="3">
        <v>24000</v>
      </c>
      <c r="G11" s="3">
        <v>15000</v>
      </c>
      <c r="H11" s="3">
        <f>D11*1.2</f>
        <v>21266.399999999998</v>
      </c>
      <c r="I11" s="3">
        <f t="shared" ref="I11" si="11">E11*1.2</f>
        <v>20979.599999999999</v>
      </c>
      <c r="J11" s="3">
        <f>F11</f>
        <v>24000</v>
      </c>
      <c r="K11" s="3">
        <f t="shared" ref="K11:W11" si="12">G11</f>
        <v>15000</v>
      </c>
      <c r="L11" s="3">
        <f t="shared" si="12"/>
        <v>21266.399999999998</v>
      </c>
      <c r="M11" s="3">
        <f t="shared" si="12"/>
        <v>20979.599999999999</v>
      </c>
      <c r="N11" s="3">
        <f t="shared" si="12"/>
        <v>24000</v>
      </c>
      <c r="O11" s="3">
        <f t="shared" si="12"/>
        <v>15000</v>
      </c>
      <c r="P11" s="3">
        <f t="shared" si="12"/>
        <v>21266.399999999998</v>
      </c>
      <c r="Q11" s="3">
        <f t="shared" si="12"/>
        <v>20979.599999999999</v>
      </c>
      <c r="R11" s="3">
        <f t="shared" si="12"/>
        <v>24000</v>
      </c>
      <c r="S11" s="3">
        <f t="shared" si="12"/>
        <v>15000</v>
      </c>
      <c r="T11" s="3">
        <f t="shared" si="12"/>
        <v>21266.399999999998</v>
      </c>
      <c r="U11" s="3">
        <f t="shared" si="12"/>
        <v>20979.599999999999</v>
      </c>
      <c r="V11" s="3">
        <f t="shared" si="12"/>
        <v>24000</v>
      </c>
      <c r="W11" s="3">
        <f t="shared" si="12"/>
        <v>15000</v>
      </c>
    </row>
    <row r="12" spans="1:16384" x14ac:dyDescent="0.3">
      <c r="A12" s="1" t="s">
        <v>24</v>
      </c>
      <c r="C12" s="3"/>
      <c r="D12" s="6"/>
      <c r="E12" s="3"/>
      <c r="F12" s="3"/>
      <c r="G12" s="3">
        <f>1000*3</f>
        <v>3000</v>
      </c>
      <c r="H12" s="3">
        <f>1000*13</f>
        <v>13000</v>
      </c>
      <c r="I12" s="3">
        <f>1500*13</f>
        <v>19500</v>
      </c>
      <c r="J12" s="3">
        <f>2000*13</f>
        <v>26000</v>
      </c>
      <c r="K12" s="3">
        <f>5000*13</f>
        <v>65000</v>
      </c>
      <c r="L12" s="3">
        <f>SUM(L10:L11)*1.1</f>
        <v>123493.04000000001</v>
      </c>
      <c r="M12" s="3">
        <f t="shared" ref="M12:S12" si="13">SUM(M10:M11)*1.1</f>
        <v>123177.56000000001</v>
      </c>
      <c r="N12" s="3">
        <f t="shared" si="13"/>
        <v>136510.00000000003</v>
      </c>
      <c r="O12" s="3">
        <f t="shared" si="13"/>
        <v>137621.00000000003</v>
      </c>
      <c r="P12" s="3">
        <f t="shared" si="13"/>
        <v>156626.14000000007</v>
      </c>
      <c r="Q12" s="3">
        <f t="shared" si="13"/>
        <v>169633.97000000009</v>
      </c>
      <c r="R12" s="3">
        <f t="shared" si="13"/>
        <v>187612.05100000012</v>
      </c>
      <c r="S12" s="3">
        <f t="shared" si="13"/>
        <v>193833.25610000014</v>
      </c>
      <c r="T12" s="3">
        <f t="shared" ref="T12:W12" si="14">T10</f>
        <v>91000</v>
      </c>
      <c r="U12" s="3">
        <f t="shared" si="14"/>
        <v>91000</v>
      </c>
      <c r="V12" s="3">
        <f t="shared" si="14"/>
        <v>91000</v>
      </c>
      <c r="W12" s="3">
        <f t="shared" si="14"/>
        <v>91000</v>
      </c>
    </row>
    <row r="13" spans="1:16384" x14ac:dyDescent="0.3">
      <c r="A13" s="1" t="s">
        <v>51</v>
      </c>
      <c r="C13" s="3"/>
      <c r="D13" s="3"/>
      <c r="E13" s="3"/>
      <c r="F13" s="3"/>
      <c r="G13" s="3">
        <f>1500*13</f>
        <v>19500</v>
      </c>
      <c r="H13" s="3">
        <f>2200*13</f>
        <v>28600</v>
      </c>
      <c r="I13" s="3">
        <f>2500*13</f>
        <v>32500</v>
      </c>
      <c r="J13" s="3">
        <f>3000*13</f>
        <v>39000</v>
      </c>
      <c r="K13" s="3">
        <f>J13</f>
        <v>39000</v>
      </c>
      <c r="L13" s="3">
        <f>K13</f>
        <v>39000</v>
      </c>
      <c r="M13" s="3">
        <f t="shared" ref="M13:V14" si="15">L13</f>
        <v>39000</v>
      </c>
      <c r="N13" s="3">
        <f t="shared" si="15"/>
        <v>39000</v>
      </c>
      <c r="O13" s="3">
        <f t="shared" si="15"/>
        <v>39000</v>
      </c>
      <c r="P13" s="3">
        <f t="shared" si="15"/>
        <v>39000</v>
      </c>
      <c r="Q13" s="3">
        <f t="shared" si="15"/>
        <v>39000</v>
      </c>
      <c r="R13" s="3">
        <f t="shared" si="15"/>
        <v>39000</v>
      </c>
      <c r="S13" s="3">
        <f t="shared" si="15"/>
        <v>39000</v>
      </c>
      <c r="T13" s="3">
        <f t="shared" si="15"/>
        <v>39000</v>
      </c>
      <c r="U13" s="3">
        <f t="shared" si="15"/>
        <v>39000</v>
      </c>
      <c r="V13" s="3">
        <f t="shared" si="15"/>
        <v>39000</v>
      </c>
      <c r="W13" s="3">
        <f t="shared" ref="W13" si="16">V13</f>
        <v>39000</v>
      </c>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16384" x14ac:dyDescent="0.3">
      <c r="A14" s="1" t="s">
        <v>101</v>
      </c>
      <c r="C14" s="3"/>
      <c r="D14" s="3"/>
      <c r="E14" s="20">
        <v>0.27</v>
      </c>
      <c r="F14" s="45">
        <v>0.27</v>
      </c>
      <c r="G14" s="45">
        <f t="shared" ref="G14:J14" si="17">F14*1.1</f>
        <v>0.29700000000000004</v>
      </c>
      <c r="H14" s="45">
        <f t="shared" si="17"/>
        <v>0.32670000000000005</v>
      </c>
      <c r="I14" s="45">
        <f t="shared" si="17"/>
        <v>0.35937000000000008</v>
      </c>
      <c r="J14" s="45">
        <f t="shared" si="17"/>
        <v>0.39530700000000013</v>
      </c>
      <c r="K14" s="45">
        <v>0.5</v>
      </c>
      <c r="L14" s="20">
        <f t="shared" ref="L14" si="18">K14</f>
        <v>0.5</v>
      </c>
      <c r="M14" s="20">
        <f t="shared" si="15"/>
        <v>0.5</v>
      </c>
      <c r="N14" s="20">
        <f t="shared" si="15"/>
        <v>0.5</v>
      </c>
      <c r="O14" s="20">
        <f t="shared" si="15"/>
        <v>0.5</v>
      </c>
      <c r="P14" s="20">
        <f t="shared" si="15"/>
        <v>0.5</v>
      </c>
      <c r="Q14" s="20">
        <f t="shared" si="15"/>
        <v>0.5</v>
      </c>
      <c r="R14" s="20">
        <f t="shared" si="15"/>
        <v>0.5</v>
      </c>
      <c r="S14" s="20">
        <f t="shared" si="15"/>
        <v>0.5</v>
      </c>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1" t="s">
        <v>144</v>
      </c>
    </row>
    <row r="15" spans="1:16384" x14ac:dyDescent="0.3">
      <c r="A15" s="1" t="s">
        <v>106</v>
      </c>
      <c r="D15" s="3">
        <f>400000+SUM(D10:D13)</f>
        <v>495356</v>
      </c>
      <c r="E15" s="3">
        <f t="shared" ref="E15:W15" si="19">SUM(D15,E10:E13)</f>
        <v>592542</v>
      </c>
      <c r="F15" s="3">
        <f t="shared" si="19"/>
        <v>700542</v>
      </c>
      <c r="G15" s="3">
        <f t="shared" si="19"/>
        <v>816042</v>
      </c>
      <c r="H15" s="3">
        <f t="shared" si="19"/>
        <v>963408.4</v>
      </c>
      <c r="I15" s="3">
        <f t="shared" si="19"/>
        <v>1120888</v>
      </c>
      <c r="J15" s="3">
        <f t="shared" si="19"/>
        <v>1294388</v>
      </c>
      <c r="K15" s="3">
        <f t="shared" si="19"/>
        <v>1504388</v>
      </c>
      <c r="L15" s="3">
        <f t="shared" si="19"/>
        <v>1779147.44</v>
      </c>
      <c r="M15" s="3">
        <f t="shared" si="19"/>
        <v>2053304.6</v>
      </c>
      <c r="N15" s="3">
        <f t="shared" si="19"/>
        <v>2352914.6</v>
      </c>
      <c r="O15" s="3">
        <f t="shared" si="19"/>
        <v>2654645.6</v>
      </c>
      <c r="P15" s="3">
        <f t="shared" si="19"/>
        <v>2992659.14</v>
      </c>
      <c r="Q15" s="3">
        <f t="shared" si="19"/>
        <v>3355505.8100000005</v>
      </c>
      <c r="R15" s="3">
        <f t="shared" si="19"/>
        <v>3752674.2710000006</v>
      </c>
      <c r="S15" s="3">
        <f t="shared" si="19"/>
        <v>4161719.578100001</v>
      </c>
      <c r="T15" s="3">
        <f t="shared" si="19"/>
        <v>4403985.9781000018</v>
      </c>
      <c r="U15" s="3">
        <f t="shared" si="19"/>
        <v>4645965.5781000014</v>
      </c>
      <c r="V15" s="3">
        <f t="shared" si="19"/>
        <v>4890965.5781000014</v>
      </c>
      <c r="W15" s="3">
        <f t="shared" si="19"/>
        <v>5126965.5781000014</v>
      </c>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16384" ht="15.75" customHeight="1" x14ac:dyDescent="0.3">
      <c r="A16" s="1" t="s">
        <v>100</v>
      </c>
      <c r="D16" s="3"/>
      <c r="E16" s="3"/>
      <c r="F16" s="25">
        <v>2.1930000000000001</v>
      </c>
      <c r="G16" s="25">
        <f t="shared" ref="G16:S16" si="20">AVERAGE(F15:G15*0.85/1000000)+F16</f>
        <v>2.8866357000000002</v>
      </c>
      <c r="H16" s="25">
        <f t="shared" si="20"/>
        <v>3.70553284</v>
      </c>
      <c r="I16" s="25">
        <f t="shared" si="20"/>
        <v>4.6582876400000002</v>
      </c>
      <c r="J16" s="25">
        <f t="shared" si="20"/>
        <v>5.7585174400000003</v>
      </c>
      <c r="K16" s="25">
        <f t="shared" si="20"/>
        <v>7.0372472400000001</v>
      </c>
      <c r="L16" s="3">
        <f t="shared" si="20"/>
        <v>8.5495225640000001</v>
      </c>
      <c r="M16" s="3">
        <f t="shared" si="20"/>
        <v>10.294831474</v>
      </c>
      <c r="N16" s="3">
        <f t="shared" si="20"/>
        <v>12.294808884</v>
      </c>
      <c r="O16" s="3">
        <f t="shared" si="20"/>
        <v>14.551257644</v>
      </c>
      <c r="P16" s="3">
        <f t="shared" si="20"/>
        <v>17.095017913</v>
      </c>
      <c r="Q16" s="3">
        <f t="shared" si="20"/>
        <v>19.9471978515</v>
      </c>
      <c r="R16" s="3">
        <f t="shared" si="20"/>
        <v>23.136970981850002</v>
      </c>
      <c r="S16" s="3">
        <f t="shared" si="20"/>
        <v>26.674432623235003</v>
      </c>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1" x14ac:dyDescent="0.3">
      <c r="A17" s="1" t="s">
        <v>107</v>
      </c>
      <c r="D17" s="3"/>
      <c r="E17" s="3">
        <f>(1-E14)*D15</f>
        <v>361609.88</v>
      </c>
      <c r="F17" s="3">
        <f>E17-E19+(1-F14)</f>
        <v>352570.36300000001</v>
      </c>
      <c r="G17" s="3">
        <f t="shared" ref="G17:S17" si="21">F17-F19+(1-G14)</f>
        <v>343756.80692499998</v>
      </c>
      <c r="H17" s="3">
        <f t="shared" si="21"/>
        <v>326569.63987875002</v>
      </c>
      <c r="I17" s="3">
        <f t="shared" si="21"/>
        <v>310241.79851481249</v>
      </c>
      <c r="J17" s="3">
        <f t="shared" si="21"/>
        <v>294730.31328207185</v>
      </c>
      <c r="K17" s="3">
        <f t="shared" si="21"/>
        <v>279994.29761796823</v>
      </c>
      <c r="L17" s="3">
        <f t="shared" si="21"/>
        <v>274394.91166560887</v>
      </c>
      <c r="M17" s="3">
        <f t="shared" si="21"/>
        <v>268907.51343229669</v>
      </c>
      <c r="N17" s="3">
        <f t="shared" si="21"/>
        <v>263529.86316365073</v>
      </c>
      <c r="O17" s="3">
        <f t="shared" si="21"/>
        <v>258259.76590037771</v>
      </c>
      <c r="P17" s="3">
        <f t="shared" si="21"/>
        <v>253095.07058237016</v>
      </c>
      <c r="Q17" s="3">
        <f t="shared" si="21"/>
        <v>248033.66917072274</v>
      </c>
      <c r="R17" s="3">
        <f t="shared" si="21"/>
        <v>243073.49578730829</v>
      </c>
      <c r="S17" s="3">
        <f t="shared" si="21"/>
        <v>238212.52587156213</v>
      </c>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1" x14ac:dyDescent="0.3">
      <c r="A18" s="1" t="s">
        <v>108</v>
      </c>
      <c r="D18" s="3"/>
      <c r="E18" s="27">
        <v>2.5000000000000001E-2</v>
      </c>
      <c r="F18" s="27">
        <v>2.5000000000000001E-2</v>
      </c>
      <c r="G18" s="27">
        <v>0.05</v>
      </c>
      <c r="H18" s="27">
        <v>0.05</v>
      </c>
      <c r="I18" s="27">
        <v>0.05</v>
      </c>
      <c r="J18" s="27">
        <v>0.05</v>
      </c>
      <c r="K18" s="27">
        <v>0.02</v>
      </c>
      <c r="L18" s="27">
        <f t="shared" ref="L18:S18" si="22">K18</f>
        <v>0.02</v>
      </c>
      <c r="M18" s="27">
        <f t="shared" si="22"/>
        <v>0.02</v>
      </c>
      <c r="N18" s="27">
        <f t="shared" si="22"/>
        <v>0.02</v>
      </c>
      <c r="O18" s="27">
        <f t="shared" si="22"/>
        <v>0.02</v>
      </c>
      <c r="P18" s="27">
        <f t="shared" si="22"/>
        <v>0.02</v>
      </c>
      <c r="Q18" s="27">
        <f t="shared" si="22"/>
        <v>0.02</v>
      </c>
      <c r="R18" s="27">
        <f t="shared" si="22"/>
        <v>0.02</v>
      </c>
      <c r="S18" s="27">
        <f t="shared" si="22"/>
        <v>0.02</v>
      </c>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1" t="s">
        <v>146</v>
      </c>
    </row>
    <row r="19" spans="1:51" x14ac:dyDescent="0.3">
      <c r="A19" s="1" t="s">
        <v>109</v>
      </c>
      <c r="D19" s="3"/>
      <c r="E19" s="3">
        <f>E18*E17</f>
        <v>9040.2470000000012</v>
      </c>
      <c r="F19" s="3">
        <f t="shared" ref="F19:G19" si="23">F18*F17</f>
        <v>8814.2590749999999</v>
      </c>
      <c r="G19" s="3">
        <f t="shared" si="23"/>
        <v>17187.840346249999</v>
      </c>
      <c r="H19" s="3">
        <f t="shared" ref="H19" si="24">H18*H17</f>
        <v>16328.481993937501</v>
      </c>
      <c r="I19" s="3">
        <f t="shared" ref="I19" si="25">I18*I17</f>
        <v>15512.089925740625</v>
      </c>
      <c r="J19" s="3">
        <f t="shared" ref="J19" si="26">J18*J17</f>
        <v>14736.515664103594</v>
      </c>
      <c r="K19" s="3">
        <f t="shared" ref="K19" si="27">K18*K17</f>
        <v>5599.8859523593646</v>
      </c>
      <c r="L19" s="3">
        <f t="shared" ref="L19" si="28">L18*L17</f>
        <v>5487.8982333121776</v>
      </c>
      <c r="M19" s="3">
        <f t="shared" ref="M19" si="29">M18*M17</f>
        <v>5378.1502686459344</v>
      </c>
      <c r="N19" s="3">
        <f t="shared" ref="N19" si="30">N18*N17</f>
        <v>5270.5972632730145</v>
      </c>
      <c r="O19" s="3">
        <f t="shared" ref="O19" si="31">O18*O17</f>
        <v>5165.1953180075543</v>
      </c>
      <c r="P19" s="3">
        <f t="shared" ref="P19" si="32">P18*P17</f>
        <v>5061.9014116474036</v>
      </c>
      <c r="Q19" s="3">
        <f t="shared" ref="Q19" si="33">Q18*Q17</f>
        <v>4960.6733834144552</v>
      </c>
      <c r="R19" s="3">
        <f t="shared" ref="R19" si="34">R18*R17</f>
        <v>4861.4699157461655</v>
      </c>
      <c r="S19" s="3">
        <f t="shared" ref="S19" si="35">S18*S17</f>
        <v>4764.2505174312428</v>
      </c>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1" spans="1:51" x14ac:dyDescent="0.3">
      <c r="A21" s="1" t="s">
        <v>110</v>
      </c>
      <c r="D21" s="3"/>
      <c r="E21" s="8">
        <f t="shared" ref="E21:S21" si="36">(SUMPRODUCT(E4:E6,E10:E12)+E13*E4)/1000000000</f>
        <v>5.0454359999999996</v>
      </c>
      <c r="F21" s="8">
        <f t="shared" si="36"/>
        <v>5.8752000000000004</v>
      </c>
      <c r="G21" s="8">
        <f t="shared" si="36"/>
        <v>5.6879999999999997</v>
      </c>
      <c r="H21" s="8">
        <f t="shared" si="36"/>
        <v>7.6143232000000003</v>
      </c>
      <c r="I21" s="8">
        <f t="shared" si="36"/>
        <v>8.1018048</v>
      </c>
      <c r="J21" s="8">
        <f t="shared" si="36"/>
        <v>8.9968000000000004</v>
      </c>
      <c r="K21" s="8">
        <f t="shared" si="36"/>
        <v>10.523999999999999</v>
      </c>
      <c r="L21" s="8">
        <f t="shared" si="36"/>
        <v>14.117081280000001</v>
      </c>
      <c r="M21" s="8">
        <f t="shared" si="36"/>
        <v>14.075437920000001</v>
      </c>
      <c r="N21" s="8">
        <f t="shared" si="36"/>
        <v>15.442200000000003</v>
      </c>
      <c r="O21" s="8">
        <f t="shared" si="36"/>
        <v>15.156420000000004</v>
      </c>
      <c r="P21" s="8">
        <f t="shared" si="36"/>
        <v>17.189423280000007</v>
      </c>
      <c r="Q21" s="8">
        <f t="shared" si="36"/>
        <v>18.383214120000009</v>
      </c>
      <c r="R21" s="8">
        <f t="shared" si="36"/>
        <v>20.180753820000007</v>
      </c>
      <c r="S21" s="8">
        <f t="shared" si="36"/>
        <v>20.368829202000015</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1" x14ac:dyDescent="0.3">
      <c r="A22" s="1" t="s">
        <v>69</v>
      </c>
      <c r="D22" s="3"/>
      <c r="E22" s="8">
        <f>(SUM(E10:E13)*E7*E14+E19*E7)/1000000000</f>
        <v>0.22932303549999999</v>
      </c>
      <c r="F22" s="8">
        <f t="shared" ref="F22:S22" si="37">(SUM(F10:F13)*F7*F14+F19*F7)/1000000000</f>
        <v>0.265819813525</v>
      </c>
      <c r="G22" s="8">
        <f t="shared" si="37"/>
        <v>0.38618505259687502</v>
      </c>
      <c r="H22" s="8">
        <f t="shared" si="37"/>
        <v>0.51578467899150005</v>
      </c>
      <c r="I22" s="8">
        <f t="shared" si="37"/>
        <v>0.64894980399966573</v>
      </c>
      <c r="J22" s="8">
        <f t="shared" si="37"/>
        <v>0.83322280164103613</v>
      </c>
      <c r="K22" s="8">
        <f t="shared" si="37"/>
        <v>1.216598745475953</v>
      </c>
      <c r="L22" s="8">
        <f t="shared" si="37"/>
        <v>1.7144114187997461</v>
      </c>
      <c r="M22" s="8">
        <f t="shared" si="37"/>
        <v>1.8519374934923973</v>
      </c>
      <c r="N22" s="8">
        <f t="shared" si="37"/>
        <v>2.1710583616858226</v>
      </c>
      <c r="O22" s="8">
        <f t="shared" si="37"/>
        <v>2.3404604297701139</v>
      </c>
      <c r="P22" s="8">
        <f t="shared" si="37"/>
        <v>2.78509874258636</v>
      </c>
      <c r="Q22" s="8">
        <f t="shared" si="37"/>
        <v>3.1685281425180474</v>
      </c>
      <c r="R22" s="8">
        <f t="shared" si="37"/>
        <v>3.6620226074834332</v>
      </c>
      <c r="S22" s="8">
        <f t="shared" si="37"/>
        <v>3.9764511772811959</v>
      </c>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1" x14ac:dyDescent="0.3">
      <c r="A23" s="1" t="s">
        <v>71</v>
      </c>
      <c r="D23" s="3"/>
      <c r="E23" s="20">
        <v>0.36699999999999999</v>
      </c>
      <c r="F23" s="20">
        <f>E23</f>
        <v>0.36699999999999999</v>
      </c>
      <c r="G23" s="20">
        <f>F23*0.5</f>
        <v>0.1835</v>
      </c>
      <c r="H23" s="20">
        <v>0.05</v>
      </c>
      <c r="I23" s="20">
        <v>0</v>
      </c>
      <c r="J23" s="20">
        <v>0</v>
      </c>
      <c r="K23" s="20">
        <f t="shared" ref="K23:S23" si="38">J23</f>
        <v>0</v>
      </c>
      <c r="L23" s="20">
        <f t="shared" si="38"/>
        <v>0</v>
      </c>
      <c r="M23" s="20">
        <f t="shared" si="38"/>
        <v>0</v>
      </c>
      <c r="N23" s="20">
        <f t="shared" si="38"/>
        <v>0</v>
      </c>
      <c r="O23" s="20">
        <f t="shared" si="38"/>
        <v>0</v>
      </c>
      <c r="P23" s="20">
        <f t="shared" si="38"/>
        <v>0</v>
      </c>
      <c r="Q23" s="20">
        <f t="shared" si="38"/>
        <v>0</v>
      </c>
      <c r="R23" s="20">
        <f t="shared" si="38"/>
        <v>0</v>
      </c>
      <c r="S23" s="20">
        <f t="shared" si="38"/>
        <v>0</v>
      </c>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1" x14ac:dyDescent="0.3">
      <c r="A24" s="1" t="s">
        <v>70</v>
      </c>
      <c r="D24" s="3"/>
      <c r="E24" s="16">
        <v>0.5</v>
      </c>
      <c r="F24" s="16">
        <f>E24+F22-F25-F26</f>
        <v>0.59755587156367507</v>
      </c>
      <c r="G24" s="16">
        <f t="shared" ref="G24:S24" si="39">F24+G22-G25-G26</f>
        <v>0.36964289293336416</v>
      </c>
      <c r="H24" s="16">
        <f t="shared" si="39"/>
        <v>0.12650936826384318</v>
      </c>
      <c r="I24" s="16">
        <f t="shared" si="39"/>
        <v>0</v>
      </c>
      <c r="J24" s="16">
        <f t="shared" si="39"/>
        <v>0</v>
      </c>
      <c r="K24" s="16">
        <f t="shared" si="39"/>
        <v>0</v>
      </c>
      <c r="L24" s="16">
        <f t="shared" si="39"/>
        <v>0</v>
      </c>
      <c r="M24" s="16">
        <f t="shared" si="39"/>
        <v>0</v>
      </c>
      <c r="N24" s="16">
        <f t="shared" si="39"/>
        <v>0</v>
      </c>
      <c r="O24" s="16">
        <f t="shared" si="39"/>
        <v>0</v>
      </c>
      <c r="P24" s="16">
        <f t="shared" si="39"/>
        <v>0</v>
      </c>
      <c r="Q24" s="16">
        <f t="shared" si="39"/>
        <v>0</v>
      </c>
      <c r="R24" s="16">
        <f t="shared" si="39"/>
        <v>0</v>
      </c>
      <c r="S24" s="16">
        <f t="shared" si="39"/>
        <v>0</v>
      </c>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1" x14ac:dyDescent="0.3">
      <c r="A25" s="1" t="s">
        <v>72</v>
      </c>
      <c r="D25" s="3"/>
      <c r="E25" s="33">
        <f t="shared" ref="E25:G25" si="40">E22*(1-E23)</f>
        <v>0.14516148147149999</v>
      </c>
      <c r="F25" s="33">
        <f t="shared" si="40"/>
        <v>0.16826394196132499</v>
      </c>
      <c r="G25" s="33">
        <f t="shared" si="40"/>
        <v>0.31532009544534845</v>
      </c>
      <c r="H25" s="33">
        <f>H22*(1-H23)</f>
        <v>0.48999544504192499</v>
      </c>
      <c r="I25" s="33">
        <f t="shared" ref="I25:S25" si="41">I22*(1-I23)</f>
        <v>0.64894980399966573</v>
      </c>
      <c r="J25" s="33">
        <f t="shared" si="41"/>
        <v>0.83322280164103613</v>
      </c>
      <c r="K25" s="33">
        <f t="shared" si="41"/>
        <v>1.216598745475953</v>
      </c>
      <c r="L25" s="33">
        <f t="shared" si="41"/>
        <v>1.7144114187997461</v>
      </c>
      <c r="M25" s="33">
        <f t="shared" si="41"/>
        <v>1.8519374934923973</v>
      </c>
      <c r="N25" s="33">
        <f t="shared" si="41"/>
        <v>2.1710583616858226</v>
      </c>
      <c r="O25" s="33">
        <f t="shared" si="41"/>
        <v>2.3404604297701139</v>
      </c>
      <c r="P25" s="33">
        <f t="shared" si="41"/>
        <v>2.78509874258636</v>
      </c>
      <c r="Q25" s="33">
        <f t="shared" si="41"/>
        <v>3.1685281425180474</v>
      </c>
      <c r="R25" s="33">
        <f t="shared" si="41"/>
        <v>3.6620226074834332</v>
      </c>
      <c r="S25" s="33">
        <f t="shared" si="41"/>
        <v>3.9764511772811959</v>
      </c>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1" x14ac:dyDescent="0.3">
      <c r="A26" s="1" t="s">
        <v>105</v>
      </c>
      <c r="D26" s="3"/>
      <c r="E26" s="53">
        <v>0.04</v>
      </c>
      <c r="F26" s="53">
        <f t="shared" ref="F26:I26" si="42">IFERROR((E23-F23)/E23*E24,0)</f>
        <v>0</v>
      </c>
      <c r="G26" s="53">
        <f t="shared" si="42"/>
        <v>0.29877793578183753</v>
      </c>
      <c r="H26" s="53">
        <f t="shared" si="42"/>
        <v>0.26892275861909604</v>
      </c>
      <c r="I26" s="53">
        <f t="shared" si="42"/>
        <v>0.12650936826384318</v>
      </c>
      <c r="J26" s="32">
        <f>IFERROR((I23-J23)/I23*I24,0)</f>
        <v>0</v>
      </c>
      <c r="K26" s="32">
        <f t="shared" ref="K26:S26" si="43">IFERROR((J23-K23)/J23*J24,0)</f>
        <v>0</v>
      </c>
      <c r="L26" s="32">
        <f t="shared" si="43"/>
        <v>0</v>
      </c>
      <c r="M26" s="32">
        <f t="shared" si="43"/>
        <v>0</v>
      </c>
      <c r="N26" s="32">
        <f t="shared" si="43"/>
        <v>0</v>
      </c>
      <c r="O26" s="32">
        <f t="shared" si="43"/>
        <v>0</v>
      </c>
      <c r="P26" s="32">
        <f t="shared" si="43"/>
        <v>0</v>
      </c>
      <c r="Q26" s="32">
        <f t="shared" si="43"/>
        <v>0</v>
      </c>
      <c r="R26" s="32">
        <f t="shared" si="43"/>
        <v>0</v>
      </c>
      <c r="S26" s="32">
        <f t="shared" si="43"/>
        <v>0</v>
      </c>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1:51" x14ac:dyDescent="0.3">
      <c r="A27" s="1" t="s">
        <v>73</v>
      </c>
      <c r="D27" s="3"/>
      <c r="E27" s="8">
        <f>E25+E26</f>
        <v>0.18516148147149999</v>
      </c>
      <c r="F27" s="8">
        <f t="shared" ref="F27:S27" si="44">F25+F26</f>
        <v>0.16826394196132499</v>
      </c>
      <c r="G27" s="8">
        <f t="shared" si="44"/>
        <v>0.61409803122718598</v>
      </c>
      <c r="H27" s="8">
        <f t="shared" si="44"/>
        <v>0.75891820366102103</v>
      </c>
      <c r="I27" s="8">
        <f t="shared" si="44"/>
        <v>0.77545917226350891</v>
      </c>
      <c r="J27" s="8">
        <f t="shared" si="44"/>
        <v>0.83322280164103613</v>
      </c>
      <c r="K27" s="8">
        <f t="shared" si="44"/>
        <v>1.216598745475953</v>
      </c>
      <c r="L27" s="8">
        <f t="shared" si="44"/>
        <v>1.7144114187997461</v>
      </c>
      <c r="M27" s="8">
        <f t="shared" si="44"/>
        <v>1.8519374934923973</v>
      </c>
      <c r="N27" s="8">
        <f t="shared" si="44"/>
        <v>2.1710583616858226</v>
      </c>
      <c r="O27" s="8">
        <f t="shared" si="44"/>
        <v>2.3404604297701139</v>
      </c>
      <c r="P27" s="8">
        <f t="shared" si="44"/>
        <v>2.78509874258636</v>
      </c>
      <c r="Q27" s="8">
        <f t="shared" si="44"/>
        <v>3.1685281425180474</v>
      </c>
      <c r="R27" s="8">
        <f t="shared" si="44"/>
        <v>3.6620226074834332</v>
      </c>
      <c r="S27" s="8">
        <f t="shared" si="44"/>
        <v>3.9764511772811959</v>
      </c>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1" x14ac:dyDescent="0.3">
      <c r="A28" s="1" t="s">
        <v>74</v>
      </c>
      <c r="D28" s="3"/>
      <c r="E28" s="16">
        <v>0.1222</v>
      </c>
      <c r="F28" s="16">
        <f>E28*0.6</f>
        <v>7.3319999999999996E-2</v>
      </c>
      <c r="G28" s="16">
        <f t="shared" ref="G28:S28" si="45">F28</f>
        <v>7.3319999999999996E-2</v>
      </c>
      <c r="H28" s="16">
        <f t="shared" si="45"/>
        <v>7.3319999999999996E-2</v>
      </c>
      <c r="I28" s="16">
        <f t="shared" si="45"/>
        <v>7.3319999999999996E-2</v>
      </c>
      <c r="J28" s="16">
        <f t="shared" si="45"/>
        <v>7.3319999999999996E-2</v>
      </c>
      <c r="K28" s="16">
        <f t="shared" si="45"/>
        <v>7.3319999999999996E-2</v>
      </c>
      <c r="L28" s="16">
        <f t="shared" si="45"/>
        <v>7.3319999999999996E-2</v>
      </c>
      <c r="M28" s="16">
        <f t="shared" si="45"/>
        <v>7.3319999999999996E-2</v>
      </c>
      <c r="N28" s="16">
        <f t="shared" si="45"/>
        <v>7.3319999999999996E-2</v>
      </c>
      <c r="O28" s="16">
        <f t="shared" si="45"/>
        <v>7.3319999999999996E-2</v>
      </c>
      <c r="P28" s="16">
        <f t="shared" si="45"/>
        <v>7.3319999999999996E-2</v>
      </c>
      <c r="Q28" s="16">
        <f t="shared" si="45"/>
        <v>7.3319999999999996E-2</v>
      </c>
      <c r="R28" s="16">
        <f t="shared" si="45"/>
        <v>7.3319999999999996E-2</v>
      </c>
      <c r="S28" s="16">
        <f t="shared" si="45"/>
        <v>7.3319999999999996E-2</v>
      </c>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1" x14ac:dyDescent="0.3">
      <c r="D29" s="3"/>
      <c r="E29" s="16"/>
      <c r="F29" s="16"/>
      <c r="G29" s="16"/>
      <c r="H29" s="16"/>
      <c r="I29" s="16"/>
      <c r="J29" s="16"/>
      <c r="K29" s="16"/>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1" x14ac:dyDescent="0.3">
      <c r="A30" s="1" t="s">
        <v>52</v>
      </c>
      <c r="B30" s="16">
        <v>6.3230000000000004</v>
      </c>
      <c r="C30" s="16">
        <v>3.7240000000000002</v>
      </c>
      <c r="D30" s="8">
        <f>(SUMPRODUCT(D4:D6,D10:D12)+D13*D4)/1000000000+D25</f>
        <v>4.9754319999999996</v>
      </c>
      <c r="E30" s="26">
        <f>E21+E27+E28</f>
        <v>5.3527974814714998</v>
      </c>
      <c r="F30" s="26">
        <f t="shared" ref="F30:S30" si="46">F21+F27+F28</f>
        <v>6.1167839419613257</v>
      </c>
      <c r="G30" s="26">
        <f t="shared" si="46"/>
        <v>6.3754180312271851</v>
      </c>
      <c r="H30" s="26">
        <f t="shared" si="46"/>
        <v>8.4465614036610219</v>
      </c>
      <c r="I30" s="26">
        <f t="shared" si="46"/>
        <v>8.9505839722635105</v>
      </c>
      <c r="J30" s="26">
        <f t="shared" si="46"/>
        <v>9.9033428016410365</v>
      </c>
      <c r="K30" s="26">
        <f t="shared" si="46"/>
        <v>11.813918745475952</v>
      </c>
      <c r="L30" s="26">
        <f t="shared" si="46"/>
        <v>15.904812698799747</v>
      </c>
      <c r="M30" s="26">
        <f t="shared" si="46"/>
        <v>16.000695413492398</v>
      </c>
      <c r="N30" s="26">
        <f t="shared" si="46"/>
        <v>17.686578361685825</v>
      </c>
      <c r="O30" s="26">
        <f t="shared" si="46"/>
        <v>17.570200429770118</v>
      </c>
      <c r="P30" s="26">
        <f t="shared" si="46"/>
        <v>20.047842022586366</v>
      </c>
      <c r="Q30" s="26">
        <f t="shared" si="46"/>
        <v>21.625062262518053</v>
      </c>
      <c r="R30" s="26">
        <f t="shared" si="46"/>
        <v>23.916096427483438</v>
      </c>
      <c r="S30" s="26">
        <f t="shared" si="46"/>
        <v>24.418600379281209</v>
      </c>
      <c r="T30" s="26"/>
      <c r="U30" s="26"/>
      <c r="V30" s="26"/>
      <c r="W30" s="26"/>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1" x14ac:dyDescent="0.3">
      <c r="A31" s="1" t="s">
        <v>59</v>
      </c>
      <c r="B31" s="18">
        <f>B32-B30</f>
        <v>0.90299999999999958</v>
      </c>
      <c r="C31" s="18">
        <f>C32-C30</f>
        <v>0.81700000000000017</v>
      </c>
      <c r="D31" s="18">
        <f>D32-D30</f>
        <v>1.374568</v>
      </c>
      <c r="E31" s="18">
        <f>E32-E21-E26</f>
        <v>1.2175640000000003</v>
      </c>
      <c r="F31" s="17">
        <f>E31*1.15</f>
        <v>1.4001986000000002</v>
      </c>
      <c r="G31" s="17">
        <f t="shared" ref="G31:S31" si="47">F31*1.15</f>
        <v>1.6102283900000001</v>
      </c>
      <c r="H31" s="17">
        <f t="shared" si="47"/>
        <v>1.8517626484999998</v>
      </c>
      <c r="I31" s="17">
        <f t="shared" si="47"/>
        <v>2.1295270457749997</v>
      </c>
      <c r="J31" s="17">
        <f t="shared" si="47"/>
        <v>2.4489561026412496</v>
      </c>
      <c r="K31" s="17">
        <f t="shared" si="47"/>
        <v>2.8162995180374368</v>
      </c>
      <c r="L31" s="17">
        <f t="shared" si="47"/>
        <v>3.2387444457430523</v>
      </c>
      <c r="M31" s="17">
        <f t="shared" si="47"/>
        <v>3.7245561126045099</v>
      </c>
      <c r="N31" s="17">
        <f t="shared" si="47"/>
        <v>4.2832395294951864</v>
      </c>
      <c r="O31" s="17">
        <f t="shared" si="47"/>
        <v>4.9257254589194641</v>
      </c>
      <c r="P31" s="17">
        <f t="shared" si="47"/>
        <v>5.6645842777573829</v>
      </c>
      <c r="Q31" s="17">
        <f t="shared" si="47"/>
        <v>6.5142719194209899</v>
      </c>
      <c r="R31" s="17">
        <f t="shared" si="47"/>
        <v>7.4914127073341374</v>
      </c>
      <c r="S31" s="17">
        <f t="shared" si="47"/>
        <v>8.6151246134342578</v>
      </c>
      <c r="T31" s="17"/>
      <c r="U31" s="17"/>
      <c r="V31" s="17"/>
      <c r="W31" s="17"/>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1" x14ac:dyDescent="0.3">
      <c r="A32" s="1" t="s">
        <v>62</v>
      </c>
      <c r="B32" s="19">
        <v>7.226</v>
      </c>
      <c r="C32" s="19">
        <v>4.5410000000000004</v>
      </c>
      <c r="D32" s="19">
        <v>6.35</v>
      </c>
      <c r="E32" s="19">
        <v>6.3029999999999999</v>
      </c>
      <c r="F32" s="8">
        <f>SUM(F30:F31)</f>
        <v>7.5169825419613261</v>
      </c>
      <c r="G32" s="8">
        <f t="shared" ref="G32:I32" si="48">SUM(G30:G31)</f>
        <v>7.9856464212271856</v>
      </c>
      <c r="H32" s="8">
        <f t="shared" si="48"/>
        <v>10.298324052161021</v>
      </c>
      <c r="I32" s="8">
        <f t="shared" si="48"/>
        <v>11.08011101803851</v>
      </c>
      <c r="J32" s="8">
        <f t="shared" ref="J32" si="49">SUM(J30:J31)</f>
        <v>12.352298904282286</v>
      </c>
      <c r="K32" s="8">
        <f t="shared" ref="K32" si="50">SUM(K30:K31)</f>
        <v>14.630218263513388</v>
      </c>
      <c r="L32" s="8">
        <f t="shared" ref="L32" si="51">SUM(L30:L31)</f>
        <v>19.1435571445428</v>
      </c>
      <c r="M32" s="8">
        <f t="shared" ref="M32" si="52">SUM(M30:M31)</f>
        <v>19.725251526096908</v>
      </c>
      <c r="N32" s="8">
        <f t="shared" ref="N32" si="53">SUM(N30:N31)</f>
        <v>21.969817891181012</v>
      </c>
      <c r="O32" s="8">
        <f t="shared" ref="O32" si="54">SUM(O30:O31)</f>
        <v>22.495925888689584</v>
      </c>
      <c r="P32" s="8">
        <f t="shared" ref="P32" si="55">SUM(P30:P31)</f>
        <v>25.712426300343751</v>
      </c>
      <c r="Q32" s="8">
        <f t="shared" ref="Q32" si="56">SUM(Q30:Q31)</f>
        <v>28.139334181939041</v>
      </c>
      <c r="R32" s="8">
        <f t="shared" ref="R32" si="57">SUM(R30:R31)</f>
        <v>31.407509134817577</v>
      </c>
      <c r="S32" s="8">
        <f t="shared" ref="S32" si="58">SUM(S30:S31)</f>
        <v>33.033724992715463</v>
      </c>
      <c r="T32" s="8"/>
      <c r="U32" s="8"/>
      <c r="V32" s="8"/>
      <c r="W32" s="8"/>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idden="1" outlineLevel="1" x14ac:dyDescent="0.3">
      <c r="D33" s="8"/>
      <c r="E33" s="8"/>
      <c r="F33" s="8"/>
      <c r="G33" s="8"/>
      <c r="H33" s="8"/>
      <c r="I33" s="8"/>
      <c r="J33" s="8"/>
      <c r="K33" s="8"/>
      <c r="L33" s="8"/>
      <c r="M33" s="8"/>
      <c r="N33" s="8"/>
      <c r="O33" s="8"/>
      <c r="P33" s="8"/>
      <c r="Q33" s="8"/>
      <c r="R33" s="8"/>
      <c r="S33" s="8"/>
      <c r="T33" s="8"/>
      <c r="U33" s="8"/>
      <c r="V33" s="8"/>
      <c r="W33" s="8"/>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hidden="1" outlineLevel="1" x14ac:dyDescent="0.3">
      <c r="A34" s="1" t="s">
        <v>75</v>
      </c>
      <c r="D34" s="8"/>
      <c r="E34" s="27">
        <v>0.22800000000000001</v>
      </c>
      <c r="F34" s="8"/>
      <c r="G34" s="8"/>
      <c r="H34" s="8"/>
      <c r="I34" s="8"/>
      <c r="J34" s="8"/>
      <c r="K34" s="8"/>
      <c r="L34" s="8"/>
      <c r="M34" s="8"/>
      <c r="N34" s="8"/>
      <c r="O34" s="8"/>
      <c r="P34" s="8"/>
      <c r="Q34" s="8"/>
      <c r="R34" s="8"/>
      <c r="S34" s="8"/>
      <c r="T34" s="8"/>
      <c r="U34" s="8"/>
      <c r="V34" s="8"/>
      <c r="W34" s="8"/>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idden="1" outlineLevel="1" x14ac:dyDescent="0.3">
      <c r="A35" s="1" t="s">
        <v>76</v>
      </c>
      <c r="D35" s="8"/>
      <c r="E35" s="8">
        <f>E34*E30</f>
        <v>1.220437825775502</v>
      </c>
      <c r="F35" s="8"/>
      <c r="G35" s="8"/>
      <c r="H35" s="8"/>
      <c r="I35" s="8"/>
      <c r="J35" s="8"/>
      <c r="K35" s="8"/>
      <c r="L35" s="8"/>
      <c r="M35" s="8"/>
      <c r="N35" s="8"/>
      <c r="O35" s="8"/>
      <c r="P35" s="8"/>
      <c r="Q35" s="8"/>
      <c r="R35" s="8"/>
      <c r="S35" s="8"/>
      <c r="T35" s="8"/>
      <c r="U35" s="8"/>
      <c r="V35" s="8"/>
      <c r="W35" s="8"/>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idden="1" outlineLevel="1" x14ac:dyDescent="0.3">
      <c r="A36" s="1" t="s">
        <v>78</v>
      </c>
      <c r="D36" s="8"/>
      <c r="E36" s="17">
        <f>-E27-E28</f>
        <v>-0.3073614814715</v>
      </c>
      <c r="F36" s="8"/>
      <c r="G36" s="8"/>
      <c r="H36" s="8"/>
      <c r="I36" s="8"/>
      <c r="J36" s="8"/>
      <c r="K36" s="8"/>
      <c r="L36" s="8"/>
      <c r="M36" s="8"/>
      <c r="N36" s="8"/>
      <c r="O36" s="8"/>
      <c r="P36" s="8"/>
      <c r="Q36" s="8"/>
      <c r="R36" s="8"/>
      <c r="S36" s="8"/>
      <c r="T36" s="8"/>
      <c r="U36" s="8"/>
      <c r="V36" s="9"/>
      <c r="W36" s="8"/>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idden="1" outlineLevel="1" x14ac:dyDescent="0.3">
      <c r="A37" s="1" t="s">
        <v>77</v>
      </c>
      <c r="D37" s="8"/>
      <c r="E37" s="8">
        <f>SUM(E35:E36)</f>
        <v>0.91307634430400197</v>
      </c>
      <c r="F37" s="8"/>
      <c r="G37" s="8"/>
      <c r="H37" s="8"/>
      <c r="I37" s="8"/>
      <c r="J37" s="8"/>
      <c r="K37" s="8"/>
      <c r="L37" s="8"/>
      <c r="M37" s="8"/>
      <c r="N37" s="8"/>
      <c r="O37" s="8"/>
      <c r="P37" s="8"/>
      <c r="Q37" s="8"/>
      <c r="R37" s="8"/>
      <c r="S37" s="8"/>
      <c r="T37" s="8"/>
      <c r="U37" s="8"/>
      <c r="V37" s="9"/>
      <c r="W37" s="8"/>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idden="1" outlineLevel="1" x14ac:dyDescent="0.3">
      <c r="D38" s="8"/>
      <c r="E38" s="8"/>
      <c r="F38" s="8"/>
      <c r="G38" s="8"/>
      <c r="H38" s="8"/>
      <c r="I38" s="8"/>
      <c r="J38" s="8"/>
      <c r="K38" s="8"/>
      <c r="L38" s="8"/>
      <c r="M38" s="8"/>
      <c r="N38" s="8"/>
      <c r="O38" s="8"/>
      <c r="P38" s="8"/>
      <c r="Q38" s="8"/>
      <c r="R38" s="8"/>
      <c r="S38" s="8"/>
      <c r="T38" s="8"/>
      <c r="U38" s="8"/>
      <c r="V38" s="3"/>
      <c r="W38" s="8"/>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collapsed="1" x14ac:dyDescent="0.3">
      <c r="E39" s="28"/>
      <c r="F39" s="8"/>
      <c r="G39" s="8"/>
      <c r="H39" s="8"/>
      <c r="I39" s="8"/>
      <c r="J39" s="8"/>
      <c r="K39" s="8"/>
      <c r="L39" s="8"/>
      <c r="M39" s="8"/>
      <c r="N39" s="8"/>
      <c r="O39" s="8"/>
      <c r="P39" s="8"/>
      <c r="Q39" s="8"/>
      <c r="R39" s="8"/>
      <c r="S39" s="8"/>
      <c r="T39" s="8"/>
      <c r="U39" s="8"/>
      <c r="V39" s="8"/>
      <c r="W39" s="8"/>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x14ac:dyDescent="0.3">
      <c r="A40" s="1" t="s">
        <v>102</v>
      </c>
      <c r="D40" s="8"/>
      <c r="E40" s="15">
        <f>E37/E21</f>
        <v>0.18097075144823996</v>
      </c>
      <c r="F40" s="27">
        <v>0.2</v>
      </c>
      <c r="G40" s="27">
        <v>0.17</v>
      </c>
      <c r="H40" s="27">
        <v>0.17</v>
      </c>
      <c r="I40" s="27">
        <v>0.185</v>
      </c>
      <c r="J40" s="27">
        <v>0.2</v>
      </c>
      <c r="K40" s="27">
        <f>J40</f>
        <v>0.2</v>
      </c>
      <c r="L40" s="27">
        <f t="shared" ref="L40:S40" si="59">K40</f>
        <v>0.2</v>
      </c>
      <c r="M40" s="27">
        <f t="shared" si="59"/>
        <v>0.2</v>
      </c>
      <c r="N40" s="27">
        <f t="shared" si="59"/>
        <v>0.2</v>
      </c>
      <c r="O40" s="27">
        <f t="shared" si="59"/>
        <v>0.2</v>
      </c>
      <c r="P40" s="27">
        <f t="shared" si="59"/>
        <v>0.2</v>
      </c>
      <c r="Q40" s="27">
        <f t="shared" si="59"/>
        <v>0.2</v>
      </c>
      <c r="R40" s="27">
        <f t="shared" si="59"/>
        <v>0.2</v>
      </c>
      <c r="S40" s="27">
        <f t="shared" si="59"/>
        <v>0.2</v>
      </c>
      <c r="T40" s="8"/>
      <c r="U40" s="8"/>
      <c r="V40" s="3"/>
      <c r="W40" s="8"/>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x14ac:dyDescent="0.3">
      <c r="A41" s="1" t="s">
        <v>79</v>
      </c>
      <c r="D41" s="8"/>
      <c r="E41" s="8">
        <f t="shared" ref="E41:S41" si="60">E40*E21</f>
        <v>0.91307634430400197</v>
      </c>
      <c r="F41" s="8">
        <f t="shared" si="60"/>
        <v>1.1750400000000001</v>
      </c>
      <c r="G41" s="8">
        <f t="shared" si="60"/>
        <v>0.96696000000000004</v>
      </c>
      <c r="H41" s="8">
        <f t="shared" si="60"/>
        <v>1.294434944</v>
      </c>
      <c r="I41" s="8">
        <f t="shared" si="60"/>
        <v>1.4988338880000001</v>
      </c>
      <c r="J41" s="8">
        <f t="shared" si="60"/>
        <v>1.7993600000000001</v>
      </c>
      <c r="K41" s="8">
        <f t="shared" si="60"/>
        <v>2.1048</v>
      </c>
      <c r="L41" s="8">
        <f t="shared" si="60"/>
        <v>2.8234162560000002</v>
      </c>
      <c r="M41" s="8">
        <f t="shared" si="60"/>
        <v>2.8150875840000005</v>
      </c>
      <c r="N41" s="8">
        <f t="shared" si="60"/>
        <v>3.0884400000000007</v>
      </c>
      <c r="O41" s="8">
        <f t="shared" si="60"/>
        <v>3.0312840000000012</v>
      </c>
      <c r="P41" s="8">
        <f t="shared" si="60"/>
        <v>3.4378846560000014</v>
      </c>
      <c r="Q41" s="8">
        <f t="shared" si="60"/>
        <v>3.6766428240000018</v>
      </c>
      <c r="R41" s="8">
        <f t="shared" si="60"/>
        <v>4.0361507640000012</v>
      </c>
      <c r="S41" s="8">
        <f t="shared" si="60"/>
        <v>4.0737658404000028</v>
      </c>
      <c r="T41" s="8"/>
      <c r="U41" s="8"/>
      <c r="V41" s="8"/>
      <c r="W41" s="8"/>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x14ac:dyDescent="0.3">
      <c r="A42" s="1" t="s">
        <v>80</v>
      </c>
      <c r="D42" s="8"/>
      <c r="E42" s="8">
        <f>E27</f>
        <v>0.18516148147149999</v>
      </c>
      <c r="F42" s="8">
        <f>F27</f>
        <v>0.16826394196132499</v>
      </c>
      <c r="G42" s="8">
        <f t="shared" ref="G42:I42" si="61">G27</f>
        <v>0.61409803122718598</v>
      </c>
      <c r="H42" s="8">
        <f t="shared" si="61"/>
        <v>0.75891820366102103</v>
      </c>
      <c r="I42" s="8">
        <f t="shared" si="61"/>
        <v>0.77545917226350891</v>
      </c>
      <c r="J42" s="8">
        <f>J27</f>
        <v>0.83322280164103613</v>
      </c>
      <c r="K42" s="8">
        <f t="shared" ref="K42:P42" si="62">K27</f>
        <v>1.216598745475953</v>
      </c>
      <c r="L42" s="8">
        <f t="shared" si="62"/>
        <v>1.7144114187997461</v>
      </c>
      <c r="M42" s="8">
        <f t="shared" si="62"/>
        <v>1.8519374934923973</v>
      </c>
      <c r="N42" s="8">
        <f t="shared" si="62"/>
        <v>2.1710583616858226</v>
      </c>
      <c r="O42" s="8">
        <f t="shared" si="62"/>
        <v>2.3404604297701139</v>
      </c>
      <c r="P42" s="8">
        <f t="shared" si="62"/>
        <v>2.78509874258636</v>
      </c>
      <c r="Q42" s="8">
        <f t="shared" ref="Q42:S42" si="63">Q27</f>
        <v>3.1685281425180474</v>
      </c>
      <c r="R42" s="8">
        <f t="shared" si="63"/>
        <v>3.6620226074834332</v>
      </c>
      <c r="S42" s="8">
        <f t="shared" si="63"/>
        <v>3.9764511772811959</v>
      </c>
      <c r="T42" s="8"/>
      <c r="U42" s="8"/>
      <c r="V42" s="8"/>
      <c r="W42" s="8"/>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x14ac:dyDescent="0.3">
      <c r="A43" s="1" t="s">
        <v>81</v>
      </c>
      <c r="D43" s="8"/>
      <c r="E43" s="17">
        <f>E28</f>
        <v>0.1222</v>
      </c>
      <c r="F43" s="17">
        <f>F28</f>
        <v>7.3319999999999996E-2</v>
      </c>
      <c r="G43" s="17">
        <f t="shared" ref="G43:I43" si="64">G28</f>
        <v>7.3319999999999996E-2</v>
      </c>
      <c r="H43" s="17">
        <f t="shared" si="64"/>
        <v>7.3319999999999996E-2</v>
      </c>
      <c r="I43" s="17">
        <f t="shared" si="64"/>
        <v>7.3319999999999996E-2</v>
      </c>
      <c r="J43" s="17">
        <f>J28</f>
        <v>7.3319999999999996E-2</v>
      </c>
      <c r="K43" s="17">
        <f t="shared" ref="K43:P43" si="65">K28</f>
        <v>7.3319999999999996E-2</v>
      </c>
      <c r="L43" s="17">
        <f t="shared" si="65"/>
        <v>7.3319999999999996E-2</v>
      </c>
      <c r="M43" s="17">
        <f t="shared" si="65"/>
        <v>7.3319999999999996E-2</v>
      </c>
      <c r="N43" s="17">
        <f t="shared" si="65"/>
        <v>7.3319999999999996E-2</v>
      </c>
      <c r="O43" s="17">
        <f t="shared" si="65"/>
        <v>7.3319999999999996E-2</v>
      </c>
      <c r="P43" s="17">
        <f t="shared" si="65"/>
        <v>7.3319999999999996E-2</v>
      </c>
      <c r="Q43" s="17">
        <f t="shared" ref="Q43:S43" si="66">Q28</f>
        <v>7.3319999999999996E-2</v>
      </c>
      <c r="R43" s="17">
        <f t="shared" si="66"/>
        <v>7.3319999999999996E-2</v>
      </c>
      <c r="S43" s="17">
        <f t="shared" si="66"/>
        <v>7.3319999999999996E-2</v>
      </c>
      <c r="T43" s="8"/>
      <c r="U43" s="8"/>
      <c r="V43" s="8"/>
      <c r="W43" s="8"/>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3">
      <c r="A44" s="1" t="s">
        <v>82</v>
      </c>
      <c r="D44" s="8"/>
      <c r="E44" s="34">
        <f>SUM(E41:E43)</f>
        <v>1.220437825775502</v>
      </c>
      <c r="F44" s="8">
        <f>SUM(F41:F43)</f>
        <v>1.4166239419613251</v>
      </c>
      <c r="G44" s="8">
        <f t="shared" ref="G44:I44" si="67">SUM(G41:G43)</f>
        <v>1.6543780312271861</v>
      </c>
      <c r="H44" s="8">
        <f t="shared" si="67"/>
        <v>2.126673147661021</v>
      </c>
      <c r="I44" s="8">
        <f t="shared" si="67"/>
        <v>2.3476130602635088</v>
      </c>
      <c r="J44" s="8">
        <f>SUM(J41:J43)</f>
        <v>2.7059028016410362</v>
      </c>
      <c r="K44" s="8">
        <f t="shared" ref="K44:L44" si="68">SUM(K41:K43)</f>
        <v>3.3947187454759531</v>
      </c>
      <c r="L44" s="8">
        <f t="shared" si="68"/>
        <v>4.6111476747997466</v>
      </c>
      <c r="M44" s="8">
        <f t="shared" ref="M44" si="69">SUM(M41:M43)</f>
        <v>4.7403450774923979</v>
      </c>
      <c r="N44" s="8">
        <f t="shared" ref="N44" si="70">SUM(N41:N43)</f>
        <v>5.3328183616858231</v>
      </c>
      <c r="O44" s="8">
        <f t="shared" ref="O44:P44" si="71">SUM(O41:O43)</f>
        <v>5.445064429770115</v>
      </c>
      <c r="P44" s="8">
        <f t="shared" si="71"/>
        <v>6.2963033985863612</v>
      </c>
      <c r="Q44" s="8">
        <f t="shared" ref="Q44:R44" si="72">SUM(Q41:Q43)</f>
        <v>6.918490966518049</v>
      </c>
      <c r="R44" s="8">
        <f t="shared" si="72"/>
        <v>7.7714933714834347</v>
      </c>
      <c r="S44" s="8">
        <f t="shared" ref="S44" si="73">SUM(S41:S43)</f>
        <v>8.1235370176811994</v>
      </c>
      <c r="T44" s="8"/>
      <c r="U44" s="8"/>
      <c r="V44" s="8"/>
      <c r="W44" s="8"/>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s="2" customFormat="1" x14ac:dyDescent="0.3">
      <c r="A45" s="2" t="s">
        <v>103</v>
      </c>
      <c r="D45" s="24"/>
      <c r="E45" s="35">
        <f t="shared" ref="E45:S45" si="74">E44/E30</f>
        <v>0.22800000000000001</v>
      </c>
      <c r="F45" s="35">
        <f t="shared" si="74"/>
        <v>0.23159620405148551</v>
      </c>
      <c r="G45" s="35">
        <f t="shared" si="74"/>
        <v>0.25949326351996715</v>
      </c>
      <c r="H45" s="35">
        <f t="shared" si="74"/>
        <v>0.25177975344372089</v>
      </c>
      <c r="I45" s="35">
        <f t="shared" si="74"/>
        <v>0.2622860215085856</v>
      </c>
      <c r="J45" s="35">
        <f t="shared" si="74"/>
        <v>0.27323125694413547</v>
      </c>
      <c r="K45" s="35">
        <f t="shared" si="74"/>
        <v>0.28734908531311287</v>
      </c>
      <c r="L45" s="35">
        <f t="shared" si="74"/>
        <v>0.28992153269102794</v>
      </c>
      <c r="M45" s="35">
        <f t="shared" si="74"/>
        <v>0.29625869095009194</v>
      </c>
      <c r="N45" s="35">
        <f t="shared" si="74"/>
        <v>0.30151780930325273</v>
      </c>
      <c r="O45" s="35">
        <f t="shared" si="74"/>
        <v>0.30990337597653439</v>
      </c>
      <c r="P45" s="35">
        <f t="shared" si="74"/>
        <v>0.31406389732584677</v>
      </c>
      <c r="Q45" s="35">
        <f t="shared" si="74"/>
        <v>0.31992929696714084</v>
      </c>
      <c r="R45" s="35">
        <f t="shared" si="74"/>
        <v>0.32494823706065762</v>
      </c>
      <c r="S45" s="35">
        <f t="shared" si="74"/>
        <v>0.33267824082881875</v>
      </c>
      <c r="T45" s="24"/>
      <c r="U45" s="24"/>
      <c r="V45" s="24"/>
      <c r="W45" s="24"/>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row>
    <row r="46" spans="1:50" s="2" customFormat="1" x14ac:dyDescent="0.3">
      <c r="D46" s="24"/>
      <c r="E46" s="35"/>
      <c r="F46" s="35"/>
      <c r="G46" s="35"/>
      <c r="H46" s="35"/>
      <c r="I46" s="35"/>
      <c r="J46" s="35"/>
      <c r="K46" s="35"/>
      <c r="L46" s="35"/>
      <c r="M46" s="35"/>
      <c r="N46" s="35"/>
      <c r="O46" s="35"/>
      <c r="P46" s="35"/>
      <c r="Q46" s="35"/>
      <c r="R46" s="35"/>
      <c r="S46" s="35"/>
      <c r="T46" s="24"/>
      <c r="U46" s="24"/>
      <c r="V46" s="24"/>
      <c r="W46" s="24"/>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row>
    <row r="47" spans="1:50" x14ac:dyDescent="0.3">
      <c r="A47" s="1" t="s">
        <v>83</v>
      </c>
      <c r="D47" s="8"/>
      <c r="E47" s="27">
        <v>-2.41776414016035E-2</v>
      </c>
      <c r="F47" s="27">
        <v>-0.01</v>
      </c>
      <c r="G47" s="27">
        <v>0</v>
      </c>
      <c r="H47" s="27">
        <f t="shared" ref="H47:I47" si="75">G47+2%</f>
        <v>0.02</v>
      </c>
      <c r="I47" s="27">
        <f t="shared" si="75"/>
        <v>0.04</v>
      </c>
      <c r="J47" s="27">
        <v>0.06</v>
      </c>
      <c r="K47" s="15">
        <f>J47</f>
        <v>0.06</v>
      </c>
      <c r="L47" s="15">
        <f t="shared" ref="L47:S47" si="76">K47</f>
        <v>0.06</v>
      </c>
      <c r="M47" s="15">
        <f t="shared" si="76"/>
        <v>0.06</v>
      </c>
      <c r="N47" s="15">
        <f t="shared" si="76"/>
        <v>0.06</v>
      </c>
      <c r="O47" s="15">
        <f t="shared" si="76"/>
        <v>0.06</v>
      </c>
      <c r="P47" s="15">
        <f t="shared" si="76"/>
        <v>0.06</v>
      </c>
      <c r="Q47" s="15">
        <f t="shared" si="76"/>
        <v>0.06</v>
      </c>
      <c r="R47" s="15">
        <f t="shared" si="76"/>
        <v>0.06</v>
      </c>
      <c r="S47" s="15">
        <f t="shared" si="76"/>
        <v>0.06</v>
      </c>
      <c r="T47" s="8"/>
      <c r="U47" s="8"/>
      <c r="V47" s="8"/>
      <c r="W47" s="8"/>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x14ac:dyDescent="0.3">
      <c r="A48" s="1" t="s">
        <v>84</v>
      </c>
      <c r="D48" s="8"/>
      <c r="E48" s="36">
        <f>E47*E31</f>
        <v>-2.9437825775501972E-2</v>
      </c>
      <c r="F48" s="36">
        <f t="shared" ref="F48:J48" si="77">F47*F31</f>
        <v>-1.4001986000000003E-2</v>
      </c>
      <c r="G48" s="36">
        <f t="shared" si="77"/>
        <v>0</v>
      </c>
      <c r="H48" s="36">
        <f t="shared" si="77"/>
        <v>3.7035252969999995E-2</v>
      </c>
      <c r="I48" s="36">
        <f t="shared" si="77"/>
        <v>8.5181081830999997E-2</v>
      </c>
      <c r="J48" s="36">
        <f t="shared" si="77"/>
        <v>0.14693736615847497</v>
      </c>
      <c r="K48" s="36">
        <f t="shared" ref="K48" si="78">K47*K31</f>
        <v>0.16897797108224621</v>
      </c>
      <c r="L48" s="36">
        <f t="shared" ref="L48" si="79">L47*L31</f>
        <v>0.19432466674458312</v>
      </c>
      <c r="M48" s="36">
        <f t="shared" ref="M48" si="80">M47*M31</f>
        <v>0.22347336675627058</v>
      </c>
      <c r="N48" s="36">
        <f t="shared" ref="N48" si="81">N47*N31</f>
        <v>0.25699437176971118</v>
      </c>
      <c r="O48" s="36">
        <f t="shared" ref="O48" si="82">O47*O31</f>
        <v>0.29554352753516783</v>
      </c>
      <c r="P48" s="36">
        <f t="shared" ref="P48" si="83">P47*P31</f>
        <v>0.33987505666544299</v>
      </c>
      <c r="Q48" s="36">
        <f t="shared" ref="Q48" si="84">Q47*Q31</f>
        <v>0.39085631516525937</v>
      </c>
      <c r="R48" s="36">
        <f t="shared" ref="R48" si="85">R47*R31</f>
        <v>0.44948476244004826</v>
      </c>
      <c r="S48" s="36">
        <f t="shared" ref="S48" si="86">S47*S31</f>
        <v>0.51690747680605542</v>
      </c>
      <c r="T48" s="8"/>
      <c r="U48" s="8"/>
      <c r="V48" s="8"/>
      <c r="W48" s="8"/>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s="2" customFormat="1" x14ac:dyDescent="0.3">
      <c r="D49" s="24"/>
      <c r="E49" s="35"/>
      <c r="F49" s="35"/>
      <c r="G49" s="35"/>
      <c r="H49" s="35"/>
      <c r="I49" s="35"/>
      <c r="J49" s="35"/>
      <c r="K49" s="35"/>
      <c r="L49" s="35"/>
      <c r="M49" s="35"/>
      <c r="N49" s="35"/>
      <c r="O49" s="35"/>
      <c r="P49" s="35"/>
      <c r="Q49" s="35"/>
      <c r="R49" s="35"/>
      <c r="S49" s="35"/>
      <c r="T49" s="24"/>
      <c r="U49" s="24"/>
      <c r="V49" s="24"/>
      <c r="W49" s="24"/>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row>
    <row r="50" spans="1:50" x14ac:dyDescent="0.3">
      <c r="A50" s="1" t="s">
        <v>85</v>
      </c>
      <c r="D50" s="8"/>
      <c r="E50" s="34">
        <f>E48+E44</f>
        <v>1.1910000000000001</v>
      </c>
      <c r="F50" s="8">
        <f t="shared" ref="F50:J50" si="87">F48+F44</f>
        <v>1.4026219559613251</v>
      </c>
      <c r="G50" s="8">
        <f t="shared" si="87"/>
        <v>1.6543780312271861</v>
      </c>
      <c r="H50" s="8">
        <f t="shared" si="87"/>
        <v>2.163708400631021</v>
      </c>
      <c r="I50" s="8">
        <f t="shared" si="87"/>
        <v>2.4327941420945089</v>
      </c>
      <c r="J50" s="8">
        <f t="shared" si="87"/>
        <v>2.8528401677995112</v>
      </c>
      <c r="K50" s="8">
        <f t="shared" ref="K50:S50" si="88">K48+K44</f>
        <v>3.5636967165581992</v>
      </c>
      <c r="L50" s="8">
        <f t="shared" si="88"/>
        <v>4.8054723415443297</v>
      </c>
      <c r="M50" s="8">
        <f t="shared" si="88"/>
        <v>4.9638184442486688</v>
      </c>
      <c r="N50" s="8">
        <f t="shared" si="88"/>
        <v>5.5898127334555348</v>
      </c>
      <c r="O50" s="8">
        <f t="shared" si="88"/>
        <v>5.7406079573052828</v>
      </c>
      <c r="P50" s="8">
        <f t="shared" si="88"/>
        <v>6.6361784552518044</v>
      </c>
      <c r="Q50" s="8">
        <f t="shared" si="88"/>
        <v>7.3093472816833085</v>
      </c>
      <c r="R50" s="8">
        <f t="shared" si="88"/>
        <v>8.2209781339234826</v>
      </c>
      <c r="S50" s="8">
        <f t="shared" si="88"/>
        <v>8.6404444944872552</v>
      </c>
      <c r="T50" s="8"/>
      <c r="U50" s="8"/>
      <c r="V50" s="8"/>
      <c r="W50" s="8"/>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x14ac:dyDescent="0.3">
      <c r="A51" s="1" t="s">
        <v>124</v>
      </c>
      <c r="D51" s="8"/>
      <c r="E51" s="15">
        <f>E50/E32</f>
        <v>0.18895763921941933</v>
      </c>
      <c r="F51" s="8"/>
      <c r="G51" s="8"/>
      <c r="H51" s="8"/>
      <c r="I51" s="8"/>
      <c r="J51" s="8"/>
      <c r="K51" s="8"/>
      <c r="L51" s="8"/>
      <c r="M51" s="8"/>
      <c r="N51" s="8"/>
      <c r="O51" s="8"/>
      <c r="P51" s="8"/>
      <c r="Q51" s="8"/>
      <c r="R51" s="8"/>
      <c r="S51" s="8"/>
      <c r="T51" s="8"/>
      <c r="U51" s="8"/>
      <c r="V51" s="8"/>
      <c r="W51" s="8"/>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x14ac:dyDescent="0.3">
      <c r="D52" s="8"/>
      <c r="E52" s="34"/>
      <c r="F52" s="8"/>
      <c r="G52" s="8"/>
      <c r="H52" s="8"/>
      <c r="I52" s="8"/>
      <c r="J52" s="8"/>
      <c r="K52" s="8"/>
      <c r="L52" s="8"/>
      <c r="M52" s="8"/>
      <c r="N52" s="8"/>
      <c r="O52" s="8"/>
      <c r="P52" s="8"/>
      <c r="Q52" s="8"/>
      <c r="R52" s="8"/>
      <c r="S52" s="8"/>
      <c r="T52" s="8"/>
      <c r="U52" s="8"/>
      <c r="V52" s="8"/>
      <c r="W52" s="8"/>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x14ac:dyDescent="0.3">
      <c r="A53" s="1" t="s">
        <v>87</v>
      </c>
      <c r="D53" s="8"/>
      <c r="E53" s="34">
        <v>0.33400000000000002</v>
      </c>
      <c r="F53" s="31">
        <f>E53*1.15</f>
        <v>0.3841</v>
      </c>
      <c r="G53" s="31">
        <f t="shared" ref="G53:S53" si="89">F53*1.1</f>
        <v>0.42251000000000005</v>
      </c>
      <c r="H53" s="31">
        <f t="shared" si="89"/>
        <v>0.46476100000000009</v>
      </c>
      <c r="I53" s="31">
        <f t="shared" si="89"/>
        <v>0.51123710000000011</v>
      </c>
      <c r="J53" s="31">
        <f t="shared" si="89"/>
        <v>0.56236081000000016</v>
      </c>
      <c r="K53" s="31">
        <f t="shared" si="89"/>
        <v>0.61859689100000026</v>
      </c>
      <c r="L53" s="31">
        <f t="shared" si="89"/>
        <v>0.68045658010000032</v>
      </c>
      <c r="M53" s="31">
        <f t="shared" si="89"/>
        <v>0.74850223811000038</v>
      </c>
      <c r="N53" s="31">
        <f t="shared" si="89"/>
        <v>0.82335246192100053</v>
      </c>
      <c r="O53" s="31">
        <f t="shared" si="89"/>
        <v>0.90568770811310062</v>
      </c>
      <c r="P53" s="31">
        <f t="shared" si="89"/>
        <v>0.99625647892441072</v>
      </c>
      <c r="Q53" s="31">
        <f t="shared" si="89"/>
        <v>1.0958821268168519</v>
      </c>
      <c r="R53" s="31">
        <f t="shared" si="89"/>
        <v>1.2054703394985373</v>
      </c>
      <c r="S53" s="31">
        <f t="shared" si="89"/>
        <v>1.3260173734483911</v>
      </c>
      <c r="T53" s="8"/>
      <c r="U53" s="8"/>
      <c r="V53" s="8"/>
      <c r="W53" s="8"/>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x14ac:dyDescent="0.3">
      <c r="A54" s="1" t="s">
        <v>88</v>
      </c>
      <c r="D54" s="8"/>
      <c r="E54" s="34">
        <v>0.59599999999999997</v>
      </c>
      <c r="F54" s="31">
        <f>E54*1.15</f>
        <v>0.6853999999999999</v>
      </c>
      <c r="G54" s="31">
        <f t="shared" ref="G54:S54" si="90">F54*1.1</f>
        <v>0.75393999999999994</v>
      </c>
      <c r="H54" s="31">
        <f t="shared" si="90"/>
        <v>0.82933400000000002</v>
      </c>
      <c r="I54" s="31">
        <f t="shared" si="90"/>
        <v>0.91226740000000006</v>
      </c>
      <c r="J54" s="31">
        <f t="shared" si="90"/>
        <v>1.0034941400000001</v>
      </c>
      <c r="K54" s="31">
        <f t="shared" si="90"/>
        <v>1.1038435540000002</v>
      </c>
      <c r="L54" s="31">
        <f t="shared" si="90"/>
        <v>1.2142279094000004</v>
      </c>
      <c r="M54" s="31">
        <f t="shared" si="90"/>
        <v>1.3356507003400004</v>
      </c>
      <c r="N54" s="31">
        <f t="shared" si="90"/>
        <v>1.4692157703740005</v>
      </c>
      <c r="O54" s="31">
        <f t="shared" si="90"/>
        <v>1.6161373474114007</v>
      </c>
      <c r="P54" s="31">
        <f t="shared" si="90"/>
        <v>1.7777510821525409</v>
      </c>
      <c r="Q54" s="31">
        <f t="shared" si="90"/>
        <v>1.9555261903677952</v>
      </c>
      <c r="R54" s="31">
        <f t="shared" si="90"/>
        <v>2.151078809404575</v>
      </c>
      <c r="S54" s="31">
        <f t="shared" si="90"/>
        <v>2.3661866903450326</v>
      </c>
      <c r="T54" s="8"/>
      <c r="U54" s="8"/>
      <c r="V54" s="8"/>
      <c r="W54" s="8"/>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x14ac:dyDescent="0.3">
      <c r="A55" s="1" t="s">
        <v>89</v>
      </c>
      <c r="D55" s="8"/>
      <c r="E55" s="38">
        <v>0</v>
      </c>
      <c r="F55" s="39"/>
      <c r="G55" s="39"/>
      <c r="H55" s="39"/>
      <c r="I55" s="39"/>
      <c r="J55" s="39"/>
      <c r="K55" s="39"/>
      <c r="L55" s="39"/>
      <c r="M55" s="39"/>
      <c r="N55" s="39"/>
      <c r="O55" s="39"/>
      <c r="P55" s="39"/>
      <c r="Q55" s="39"/>
      <c r="R55" s="39"/>
      <c r="S55" s="39"/>
      <c r="T55" s="8"/>
      <c r="U55" s="8"/>
      <c r="V55" s="8"/>
      <c r="W55" s="8"/>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x14ac:dyDescent="0.3">
      <c r="A56" s="1" t="s">
        <v>90</v>
      </c>
      <c r="D56" s="8"/>
      <c r="E56" s="34">
        <f>SUM(E53:E55)</f>
        <v>0.92999999999999994</v>
      </c>
      <c r="F56" s="34">
        <f t="shared" ref="F56:S56" si="91">SUM(F53:F55)</f>
        <v>1.0694999999999999</v>
      </c>
      <c r="G56" s="34">
        <f t="shared" si="91"/>
        <v>1.17645</v>
      </c>
      <c r="H56" s="34">
        <f t="shared" si="91"/>
        <v>1.294095</v>
      </c>
      <c r="I56" s="34">
        <f t="shared" si="91"/>
        <v>1.4235045000000002</v>
      </c>
      <c r="J56" s="34">
        <f t="shared" si="91"/>
        <v>1.5658549500000003</v>
      </c>
      <c r="K56" s="34">
        <f t="shared" si="91"/>
        <v>1.7224404450000006</v>
      </c>
      <c r="L56" s="34">
        <f t="shared" si="91"/>
        <v>1.8946844895000008</v>
      </c>
      <c r="M56" s="34">
        <f t="shared" si="91"/>
        <v>2.0841529384500008</v>
      </c>
      <c r="N56" s="34">
        <f t="shared" si="91"/>
        <v>2.2925682322950012</v>
      </c>
      <c r="O56" s="34">
        <f t="shared" si="91"/>
        <v>2.5218250555245012</v>
      </c>
      <c r="P56" s="34">
        <f t="shared" si="91"/>
        <v>2.7740075610769517</v>
      </c>
      <c r="Q56" s="34">
        <f t="shared" si="91"/>
        <v>3.0514083171846469</v>
      </c>
      <c r="R56" s="34">
        <f t="shared" si="91"/>
        <v>3.3565491489031123</v>
      </c>
      <c r="S56" s="34">
        <f t="shared" si="91"/>
        <v>3.6922040637934237</v>
      </c>
      <c r="T56" s="8"/>
      <c r="U56" s="8"/>
      <c r="V56" s="8"/>
      <c r="W56" s="8"/>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x14ac:dyDescent="0.3">
      <c r="D57" s="8"/>
      <c r="E57" s="34"/>
      <c r="F57" s="15"/>
      <c r="G57" s="8"/>
      <c r="H57" s="8"/>
      <c r="I57" s="8"/>
      <c r="J57" s="8"/>
      <c r="K57" s="8"/>
      <c r="L57" s="8"/>
      <c r="M57" s="8"/>
      <c r="N57" s="8"/>
      <c r="O57" s="8"/>
      <c r="P57" s="8"/>
      <c r="Q57" s="8"/>
      <c r="R57" s="8"/>
      <c r="S57" s="8"/>
      <c r="T57" s="8"/>
      <c r="U57" s="8"/>
      <c r="V57" s="8"/>
      <c r="W57" s="8"/>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x14ac:dyDescent="0.3">
      <c r="A58" s="1" t="s">
        <v>91</v>
      </c>
      <c r="D58" s="8"/>
      <c r="E58" s="8">
        <f>E50-E56</f>
        <v>0.26100000000000012</v>
      </c>
      <c r="F58" s="8">
        <f>F50-F56</f>
        <v>0.33312195596132521</v>
      </c>
      <c r="G58" s="8">
        <f t="shared" ref="G58:S58" si="92">G50-G56</f>
        <v>0.47792803122718608</v>
      </c>
      <c r="H58" s="8">
        <f t="shared" si="92"/>
        <v>0.86961340063102099</v>
      </c>
      <c r="I58" s="8">
        <f t="shared" si="92"/>
        <v>1.0092896420945088</v>
      </c>
      <c r="J58" s="8">
        <f t="shared" si="92"/>
        <v>1.2869852177995109</v>
      </c>
      <c r="K58" s="8">
        <f t="shared" si="92"/>
        <v>1.8412562715581986</v>
      </c>
      <c r="L58" s="8">
        <f t="shared" si="92"/>
        <v>2.9107878520443289</v>
      </c>
      <c r="M58" s="8">
        <f t="shared" si="92"/>
        <v>2.879665505798668</v>
      </c>
      <c r="N58" s="8">
        <f t="shared" si="92"/>
        <v>3.2972445011605336</v>
      </c>
      <c r="O58" s="8">
        <f t="shared" si="92"/>
        <v>3.2187829017807816</v>
      </c>
      <c r="P58" s="8">
        <f t="shared" si="92"/>
        <v>3.8621708941748527</v>
      </c>
      <c r="Q58" s="8">
        <f t="shared" si="92"/>
        <v>4.2579389644986616</v>
      </c>
      <c r="R58" s="8">
        <f t="shared" si="92"/>
        <v>4.8644289850203704</v>
      </c>
      <c r="S58" s="8">
        <f t="shared" si="92"/>
        <v>4.948240430693831</v>
      </c>
      <c r="T58" s="8"/>
      <c r="U58" s="8"/>
      <c r="V58" s="8"/>
      <c r="W58" s="8"/>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x14ac:dyDescent="0.3">
      <c r="A59" s="1" t="s">
        <v>92</v>
      </c>
      <c r="D59" s="8"/>
      <c r="E59" s="8">
        <v>1.4999999999999999E-2</v>
      </c>
      <c r="F59" s="40">
        <f>E59</f>
        <v>1.4999999999999999E-2</v>
      </c>
      <c r="G59" s="40">
        <f t="shared" ref="G59:S59" si="93">F59</f>
        <v>1.4999999999999999E-2</v>
      </c>
      <c r="H59" s="40">
        <f t="shared" si="93"/>
        <v>1.4999999999999999E-2</v>
      </c>
      <c r="I59" s="40">
        <f t="shared" si="93"/>
        <v>1.4999999999999999E-2</v>
      </c>
      <c r="J59" s="40">
        <f t="shared" si="93"/>
        <v>1.4999999999999999E-2</v>
      </c>
      <c r="K59" s="40">
        <f t="shared" si="93"/>
        <v>1.4999999999999999E-2</v>
      </c>
      <c r="L59" s="40">
        <f t="shared" si="93"/>
        <v>1.4999999999999999E-2</v>
      </c>
      <c r="M59" s="40">
        <f t="shared" si="93"/>
        <v>1.4999999999999999E-2</v>
      </c>
      <c r="N59" s="40">
        <f t="shared" si="93"/>
        <v>1.4999999999999999E-2</v>
      </c>
      <c r="O59" s="40">
        <f t="shared" si="93"/>
        <v>1.4999999999999999E-2</v>
      </c>
      <c r="P59" s="40">
        <f t="shared" si="93"/>
        <v>1.4999999999999999E-2</v>
      </c>
      <c r="Q59" s="40">
        <f t="shared" si="93"/>
        <v>1.4999999999999999E-2</v>
      </c>
      <c r="R59" s="40">
        <f t="shared" si="93"/>
        <v>1.4999999999999999E-2</v>
      </c>
      <c r="S59" s="40">
        <f t="shared" si="93"/>
        <v>1.4999999999999999E-2</v>
      </c>
      <c r="T59" s="8"/>
      <c r="U59" s="8"/>
      <c r="V59" s="8"/>
      <c r="W59" s="8"/>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x14ac:dyDescent="0.3">
      <c r="A60" s="1" t="s">
        <v>93</v>
      </c>
      <c r="D60" s="8"/>
      <c r="E60" s="8">
        <v>-0.185</v>
      </c>
      <c r="F60" s="40">
        <f t="shared" ref="F60:S61" si="94">E60</f>
        <v>-0.185</v>
      </c>
      <c r="G60" s="40">
        <f t="shared" si="94"/>
        <v>-0.185</v>
      </c>
      <c r="H60" s="40">
        <f t="shared" si="94"/>
        <v>-0.185</v>
      </c>
      <c r="I60" s="40">
        <f t="shared" si="94"/>
        <v>-0.185</v>
      </c>
      <c r="J60" s="40">
        <f t="shared" si="94"/>
        <v>-0.185</v>
      </c>
      <c r="K60" s="40">
        <f t="shared" si="94"/>
        <v>-0.185</v>
      </c>
      <c r="L60" s="40">
        <f t="shared" si="94"/>
        <v>-0.185</v>
      </c>
      <c r="M60" s="40">
        <f t="shared" si="94"/>
        <v>-0.185</v>
      </c>
      <c r="N60" s="40">
        <f t="shared" si="94"/>
        <v>-0.185</v>
      </c>
      <c r="O60" s="40">
        <f t="shared" si="94"/>
        <v>-0.185</v>
      </c>
      <c r="P60" s="40">
        <f t="shared" si="94"/>
        <v>-0.185</v>
      </c>
      <c r="Q60" s="40">
        <f t="shared" si="94"/>
        <v>-0.185</v>
      </c>
      <c r="R60" s="40">
        <f t="shared" si="94"/>
        <v>-0.185</v>
      </c>
      <c r="S60" s="40">
        <f t="shared" si="94"/>
        <v>-0.185</v>
      </c>
      <c r="T60" s="8"/>
      <c r="U60" s="8"/>
      <c r="V60" s="8"/>
      <c r="W60" s="8"/>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x14ac:dyDescent="0.3">
      <c r="A61" s="1" t="s">
        <v>94</v>
      </c>
      <c r="D61" s="8"/>
      <c r="E61" s="17">
        <f>0.085-0.006</f>
        <v>7.9000000000000001E-2</v>
      </c>
      <c r="F61" s="17">
        <f t="shared" si="94"/>
        <v>7.9000000000000001E-2</v>
      </c>
      <c r="G61" s="17">
        <f t="shared" si="94"/>
        <v>7.9000000000000001E-2</v>
      </c>
      <c r="H61" s="17">
        <f t="shared" si="94"/>
        <v>7.9000000000000001E-2</v>
      </c>
      <c r="I61" s="17">
        <f t="shared" si="94"/>
        <v>7.9000000000000001E-2</v>
      </c>
      <c r="J61" s="17">
        <f t="shared" si="94"/>
        <v>7.9000000000000001E-2</v>
      </c>
      <c r="K61" s="17">
        <f t="shared" si="94"/>
        <v>7.9000000000000001E-2</v>
      </c>
      <c r="L61" s="17">
        <f t="shared" si="94"/>
        <v>7.9000000000000001E-2</v>
      </c>
      <c r="M61" s="17">
        <f t="shared" si="94"/>
        <v>7.9000000000000001E-2</v>
      </c>
      <c r="N61" s="17">
        <f t="shared" si="94"/>
        <v>7.9000000000000001E-2</v>
      </c>
      <c r="O61" s="17">
        <f t="shared" si="94"/>
        <v>7.9000000000000001E-2</v>
      </c>
      <c r="P61" s="17">
        <f t="shared" si="94"/>
        <v>7.9000000000000001E-2</v>
      </c>
      <c r="Q61" s="17">
        <f t="shared" si="94"/>
        <v>7.9000000000000001E-2</v>
      </c>
      <c r="R61" s="17">
        <f t="shared" si="94"/>
        <v>7.9000000000000001E-2</v>
      </c>
      <c r="S61" s="17">
        <f t="shared" si="94"/>
        <v>7.9000000000000001E-2</v>
      </c>
      <c r="T61" s="8"/>
      <c r="U61" s="8"/>
      <c r="V61" s="8"/>
      <c r="W61" s="8"/>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x14ac:dyDescent="0.3">
      <c r="A62" s="1" t="s">
        <v>95</v>
      </c>
      <c r="D62" s="8"/>
      <c r="E62" s="34">
        <f>SUM(E58:E61)</f>
        <v>0.17000000000000015</v>
      </c>
      <c r="F62" s="34">
        <f>SUM(F58:F61)</f>
        <v>0.24212195596132524</v>
      </c>
      <c r="G62" s="34">
        <f t="shared" ref="G62:S62" si="95">SUM(G58:G61)</f>
        <v>0.38692803122718611</v>
      </c>
      <c r="H62" s="34">
        <f t="shared" si="95"/>
        <v>0.77861340063102102</v>
      </c>
      <c r="I62" s="34">
        <f t="shared" si="95"/>
        <v>0.91828964209450858</v>
      </c>
      <c r="J62" s="34">
        <f t="shared" si="95"/>
        <v>1.1959852177995107</v>
      </c>
      <c r="K62" s="34">
        <f t="shared" si="95"/>
        <v>1.7502562715581984</v>
      </c>
      <c r="L62" s="34">
        <f t="shared" si="95"/>
        <v>2.8197878520443291</v>
      </c>
      <c r="M62" s="34">
        <f t="shared" si="95"/>
        <v>2.7886655057986682</v>
      </c>
      <c r="N62" s="34">
        <f t="shared" si="95"/>
        <v>3.2062445011605338</v>
      </c>
      <c r="O62" s="34">
        <f t="shared" si="95"/>
        <v>3.1277829017807819</v>
      </c>
      <c r="P62" s="34">
        <f t="shared" si="95"/>
        <v>3.771170894174853</v>
      </c>
      <c r="Q62" s="34">
        <f t="shared" si="95"/>
        <v>4.1669389644986614</v>
      </c>
      <c r="R62" s="34">
        <f t="shared" si="95"/>
        <v>4.7734289850203702</v>
      </c>
      <c r="S62" s="34">
        <f t="shared" si="95"/>
        <v>4.8572404306938308</v>
      </c>
      <c r="T62" s="8"/>
      <c r="U62" s="8"/>
      <c r="V62" s="8"/>
      <c r="W62" s="8"/>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x14ac:dyDescent="0.3">
      <c r="A63" s="1" t="s">
        <v>96</v>
      </c>
      <c r="D63" s="8"/>
      <c r="E63" s="34">
        <f>E62*0.15</f>
        <v>2.5500000000000023E-2</v>
      </c>
      <c r="F63" s="34">
        <f>F62*0.15</f>
        <v>3.6318293394198786E-2</v>
      </c>
      <c r="G63" s="34">
        <f t="shared" ref="G63:S63" si="96">G62*0.25</f>
        <v>9.6732007806796527E-2</v>
      </c>
      <c r="H63" s="34">
        <f t="shared" si="96"/>
        <v>0.19465335015775526</v>
      </c>
      <c r="I63" s="34">
        <f t="shared" si="96"/>
        <v>0.22957241052362715</v>
      </c>
      <c r="J63" s="34">
        <f t="shared" si="96"/>
        <v>0.29899630444987768</v>
      </c>
      <c r="K63" s="34">
        <f t="shared" si="96"/>
        <v>0.4375640678895496</v>
      </c>
      <c r="L63" s="34">
        <f t="shared" si="96"/>
        <v>0.70494696301108228</v>
      </c>
      <c r="M63" s="34">
        <f t="shared" si="96"/>
        <v>0.69716637644966706</v>
      </c>
      <c r="N63" s="34">
        <f t="shared" si="96"/>
        <v>0.80156112529013346</v>
      </c>
      <c r="O63" s="34">
        <f t="shared" si="96"/>
        <v>0.78194572544519547</v>
      </c>
      <c r="P63" s="34">
        <f t="shared" si="96"/>
        <v>0.94279272354371324</v>
      </c>
      <c r="Q63" s="34">
        <f t="shared" si="96"/>
        <v>1.0417347411246654</v>
      </c>
      <c r="R63" s="34">
        <f t="shared" si="96"/>
        <v>1.1933572462550925</v>
      </c>
      <c r="S63" s="34">
        <f t="shared" si="96"/>
        <v>1.2143101076734577</v>
      </c>
      <c r="T63" s="8"/>
      <c r="U63" s="8"/>
      <c r="V63" s="8"/>
      <c r="W63" s="8"/>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s="2" customFormat="1" x14ac:dyDescent="0.3">
      <c r="A64" s="2" t="s">
        <v>125</v>
      </c>
      <c r="D64" s="24"/>
      <c r="E64" s="56">
        <f>E62-E63</f>
        <v>0.14450000000000013</v>
      </c>
      <c r="F64" s="56">
        <f>F62-F63</f>
        <v>0.20580366256712646</v>
      </c>
      <c r="G64" s="56">
        <f t="shared" ref="G64:S64" si="97">G62-G63</f>
        <v>0.29019602342038958</v>
      </c>
      <c r="H64" s="56">
        <f t="shared" si="97"/>
        <v>0.58396005047326582</v>
      </c>
      <c r="I64" s="56">
        <f t="shared" si="97"/>
        <v>0.68871723157088138</v>
      </c>
      <c r="J64" s="56">
        <f t="shared" si="97"/>
        <v>0.89698891334963304</v>
      </c>
      <c r="K64" s="56">
        <f t="shared" si="97"/>
        <v>1.3126922036686488</v>
      </c>
      <c r="L64" s="56">
        <f t="shared" si="97"/>
        <v>2.1148408890332471</v>
      </c>
      <c r="M64" s="56">
        <f t="shared" si="97"/>
        <v>2.0914991293490011</v>
      </c>
      <c r="N64" s="56">
        <f t="shared" si="97"/>
        <v>2.4046833758704005</v>
      </c>
      <c r="O64" s="56">
        <f t="shared" si="97"/>
        <v>2.3458371763355865</v>
      </c>
      <c r="P64" s="56">
        <f t="shared" si="97"/>
        <v>2.8283781706311397</v>
      </c>
      <c r="Q64" s="56">
        <f t="shared" si="97"/>
        <v>3.1252042233739958</v>
      </c>
      <c r="R64" s="56">
        <f t="shared" si="97"/>
        <v>3.5800717387652776</v>
      </c>
      <c r="S64" s="56">
        <f t="shared" si="97"/>
        <v>3.6429303230203729</v>
      </c>
      <c r="T64" s="24"/>
      <c r="U64" s="24"/>
      <c r="V64" s="24"/>
      <c r="W64" s="24"/>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row>
    <row r="65" spans="1:50" x14ac:dyDescent="0.3">
      <c r="A65" s="1" t="s">
        <v>104</v>
      </c>
      <c r="D65" s="8"/>
      <c r="E65" s="25">
        <v>180.24</v>
      </c>
      <c r="F65" s="25">
        <f>E65</f>
        <v>180.24</v>
      </c>
      <c r="G65" s="41">
        <f>F65+20.26/5</f>
        <v>184.292</v>
      </c>
      <c r="H65" s="41">
        <f t="shared" ref="H65:J65" si="98">G65+20.26/5</f>
        <v>188.34399999999999</v>
      </c>
      <c r="I65" s="41">
        <f t="shared" si="98"/>
        <v>192.39599999999999</v>
      </c>
      <c r="J65" s="41">
        <f t="shared" si="98"/>
        <v>196.44799999999998</v>
      </c>
      <c r="K65" s="41">
        <f>J65+20.26/5</f>
        <v>200.49999999999997</v>
      </c>
      <c r="L65" s="25">
        <f t="shared" ref="L65:S65" si="99">K65</f>
        <v>200.49999999999997</v>
      </c>
      <c r="M65" s="25">
        <f t="shared" si="99"/>
        <v>200.49999999999997</v>
      </c>
      <c r="N65" s="25">
        <f t="shared" si="99"/>
        <v>200.49999999999997</v>
      </c>
      <c r="O65" s="25">
        <f t="shared" si="99"/>
        <v>200.49999999999997</v>
      </c>
      <c r="P65" s="25">
        <f t="shared" si="99"/>
        <v>200.49999999999997</v>
      </c>
      <c r="Q65" s="25">
        <f t="shared" si="99"/>
        <v>200.49999999999997</v>
      </c>
      <c r="R65" s="25">
        <f t="shared" si="99"/>
        <v>200.49999999999997</v>
      </c>
      <c r="S65" s="25">
        <f t="shared" si="99"/>
        <v>200.49999999999997</v>
      </c>
      <c r="T65" s="8"/>
      <c r="U65" s="8"/>
      <c r="V65" s="8"/>
      <c r="W65" s="8"/>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x14ac:dyDescent="0.3">
      <c r="A66" s="1" t="s">
        <v>126</v>
      </c>
      <c r="B66" s="23"/>
      <c r="C66" s="23"/>
      <c r="D66" s="23"/>
      <c r="E66" s="55">
        <f>E64/E65*1000</f>
        <v>0.8017088326675551</v>
      </c>
      <c r="F66" s="55">
        <f>F64/F65*1000</f>
        <v>1.1418312392761121</v>
      </c>
      <c r="G66" s="55">
        <f t="shared" ref="G66:J66" si="100">G64/G65*1000</f>
        <v>1.5746533947235344</v>
      </c>
      <c r="H66" s="55">
        <f t="shared" si="100"/>
        <v>3.1004972309883287</v>
      </c>
      <c r="I66" s="55">
        <f t="shared" si="100"/>
        <v>3.5796858124435098</v>
      </c>
      <c r="J66" s="55">
        <f t="shared" si="100"/>
        <v>4.5660373908089325</v>
      </c>
      <c r="K66" s="55">
        <f t="shared" ref="K66" si="101">K64/K65*1000</f>
        <v>6.5470932851304191</v>
      </c>
      <c r="L66" s="55">
        <f t="shared" ref="L66" si="102">L64/L65*1000</f>
        <v>10.547834858021185</v>
      </c>
      <c r="M66" s="55">
        <f t="shared" ref="M66:N66" si="103">M64/M65*1000</f>
        <v>10.431417103985044</v>
      </c>
      <c r="N66" s="55">
        <f t="shared" si="103"/>
        <v>11.993433296111725</v>
      </c>
      <c r="O66" s="55">
        <f t="shared" ref="O66" si="104">O64/O65*1000</f>
        <v>11.699936041573999</v>
      </c>
      <c r="P66" s="55">
        <f t="shared" ref="P66" si="105">P64/P65*1000</f>
        <v>14.106624292424637</v>
      </c>
      <c r="Q66" s="55">
        <f t="shared" ref="Q66:R66" si="106">Q64/Q65*1000</f>
        <v>15.587053483162077</v>
      </c>
      <c r="R66" s="55">
        <f t="shared" si="106"/>
        <v>17.855719395338046</v>
      </c>
      <c r="S66" s="55">
        <f t="shared" ref="S66" si="107">S64/S65*1000</f>
        <v>18.169228543742513</v>
      </c>
      <c r="T66" s="8"/>
      <c r="U66" s="8"/>
      <c r="V66" s="8"/>
      <c r="W66" s="8"/>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0" x14ac:dyDescent="0.3">
      <c r="A67" s="1" t="s">
        <v>127</v>
      </c>
      <c r="B67" s="23"/>
      <c r="C67" s="23"/>
      <c r="D67" s="23"/>
      <c r="E67" s="23">
        <v>1.06</v>
      </c>
      <c r="F67" s="23">
        <f>E67</f>
        <v>1.06</v>
      </c>
      <c r="G67" s="23">
        <f t="shared" ref="G67:S67" si="108">F67</f>
        <v>1.06</v>
      </c>
      <c r="H67" s="23">
        <f t="shared" si="108"/>
        <v>1.06</v>
      </c>
      <c r="I67" s="23">
        <f t="shared" si="108"/>
        <v>1.06</v>
      </c>
      <c r="J67" s="23">
        <f t="shared" si="108"/>
        <v>1.06</v>
      </c>
      <c r="K67" s="23">
        <f t="shared" si="108"/>
        <v>1.06</v>
      </c>
      <c r="L67" s="23">
        <f t="shared" si="108"/>
        <v>1.06</v>
      </c>
      <c r="M67" s="23">
        <f t="shared" si="108"/>
        <v>1.06</v>
      </c>
      <c r="N67" s="23">
        <f t="shared" si="108"/>
        <v>1.06</v>
      </c>
      <c r="O67" s="23">
        <f t="shared" si="108"/>
        <v>1.06</v>
      </c>
      <c r="P67" s="23">
        <f t="shared" si="108"/>
        <v>1.06</v>
      </c>
      <c r="Q67" s="23">
        <f t="shared" si="108"/>
        <v>1.06</v>
      </c>
      <c r="R67" s="23">
        <f t="shared" si="108"/>
        <v>1.06</v>
      </c>
      <c r="S67" s="23">
        <f t="shared" si="108"/>
        <v>1.06</v>
      </c>
      <c r="T67" s="8"/>
      <c r="U67" s="8"/>
      <c r="V67" s="8"/>
      <c r="W67" s="8"/>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row>
    <row r="68" spans="1:50" x14ac:dyDescent="0.3">
      <c r="A68" s="2" t="s">
        <v>128</v>
      </c>
      <c r="B68" s="23">
        <v>1.93</v>
      </c>
      <c r="C68" s="23">
        <v>-2.9</v>
      </c>
      <c r="D68" s="23">
        <v>-1.1200000000000001</v>
      </c>
      <c r="E68" s="54">
        <f>SUM(E66:E67)</f>
        <v>1.861708832667555</v>
      </c>
      <c r="F68" s="54">
        <f>SUM(F66:F67)</f>
        <v>2.2018312392761121</v>
      </c>
      <c r="G68" s="54">
        <f t="shared" ref="G68:S68" si="109">SUM(G66:G67)</f>
        <v>2.6346533947235344</v>
      </c>
      <c r="H68" s="54">
        <f t="shared" si="109"/>
        <v>4.1604972309883284</v>
      </c>
      <c r="I68" s="54">
        <f t="shared" si="109"/>
        <v>4.6396858124435099</v>
      </c>
      <c r="J68" s="54">
        <f t="shared" si="109"/>
        <v>5.6260373908089321</v>
      </c>
      <c r="K68" s="54">
        <f t="shared" si="109"/>
        <v>7.6070932851304196</v>
      </c>
      <c r="L68" s="54">
        <f t="shared" si="109"/>
        <v>11.607834858021185</v>
      </c>
      <c r="M68" s="54">
        <f t="shared" si="109"/>
        <v>11.491417103985045</v>
      </c>
      <c r="N68" s="54">
        <f t="shared" si="109"/>
        <v>13.053433296111725</v>
      </c>
      <c r="O68" s="54">
        <f t="shared" si="109"/>
        <v>12.759936041573999</v>
      </c>
      <c r="P68" s="54">
        <f t="shared" si="109"/>
        <v>15.166624292424638</v>
      </c>
      <c r="Q68" s="54">
        <f t="shared" si="109"/>
        <v>16.647053483162075</v>
      </c>
      <c r="R68" s="54">
        <f t="shared" si="109"/>
        <v>18.915719395338044</v>
      </c>
      <c r="S68" s="54">
        <f t="shared" si="109"/>
        <v>19.229228543742511</v>
      </c>
      <c r="T68" s="8"/>
      <c r="U68" s="8"/>
      <c r="V68" s="8"/>
      <c r="W68" s="8"/>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row>
    <row r="69" spans="1:50" x14ac:dyDescent="0.3">
      <c r="D69" s="8"/>
      <c r="E69" s="23"/>
      <c r="F69" s="11"/>
      <c r="G69" s="11"/>
      <c r="H69" s="11"/>
      <c r="I69" s="11"/>
      <c r="J69" s="11"/>
      <c r="K69" s="11"/>
      <c r="L69" s="11"/>
      <c r="M69" s="11"/>
      <c r="N69" s="11"/>
      <c r="O69" s="11"/>
      <c r="P69" s="8"/>
      <c r="Q69" s="8"/>
      <c r="R69" s="8"/>
      <c r="S69" s="8"/>
      <c r="T69" s="8"/>
      <c r="U69" s="8"/>
      <c r="V69" s="8"/>
      <c r="W69" s="8"/>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row>
    <row r="70" spans="1:50" x14ac:dyDescent="0.3">
      <c r="A70" s="1" t="s">
        <v>86</v>
      </c>
      <c r="D70" s="8"/>
      <c r="E70" s="34">
        <v>0.53</v>
      </c>
      <c r="F70" s="8">
        <f>F106</f>
        <v>0.55833333333333346</v>
      </c>
      <c r="G70" s="8">
        <f t="shared" ref="G70:M70" si="110">G106</f>
        <v>0.58666666666666678</v>
      </c>
      <c r="H70" s="8">
        <f t="shared" si="110"/>
        <v>0.60166666666666679</v>
      </c>
      <c r="I70" s="8">
        <f t="shared" si="110"/>
        <v>0.62083333333333346</v>
      </c>
      <c r="J70" s="8">
        <f t="shared" si="110"/>
        <v>0.64166666666666683</v>
      </c>
      <c r="K70" s="8">
        <f t="shared" si="110"/>
        <v>0.6658333333333335</v>
      </c>
      <c r="L70" s="8">
        <f t="shared" si="110"/>
        <v>0.69000000000000017</v>
      </c>
      <c r="M70" s="8">
        <f t="shared" si="110"/>
        <v>0.71083333333333354</v>
      </c>
      <c r="N70" s="16">
        <f>M70*1.01</f>
        <v>0.71794166666666692</v>
      </c>
      <c r="O70" s="16">
        <f>N70*1.01</f>
        <v>0.72512108333333358</v>
      </c>
      <c r="P70" s="16">
        <f t="shared" ref="P70:S70" si="111">O70*1.01</f>
        <v>0.73237229416666694</v>
      </c>
      <c r="Q70" s="16">
        <f t="shared" si="111"/>
        <v>0.73969601710833366</v>
      </c>
      <c r="R70" s="16">
        <f t="shared" si="111"/>
        <v>0.74709297727941704</v>
      </c>
      <c r="S70" s="16">
        <f t="shared" si="111"/>
        <v>0.75456390705221121</v>
      </c>
      <c r="T70" s="8"/>
      <c r="U70" s="8"/>
      <c r="V70" s="8"/>
      <c r="W70" s="8"/>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row>
    <row r="71" spans="1:50" x14ac:dyDescent="0.3">
      <c r="A71" s="1" t="s">
        <v>63</v>
      </c>
      <c r="B71" s="21">
        <v>0.89700000000000002</v>
      </c>
      <c r="C71" s="21">
        <v>-2.8000000000000001E-2</v>
      </c>
      <c r="D71" s="21">
        <v>0.371</v>
      </c>
      <c r="E71" s="34">
        <f>E50-E56+E70</f>
        <v>0.79100000000000015</v>
      </c>
      <c r="F71" s="34">
        <f>F50-F56+F70</f>
        <v>0.89145528929465867</v>
      </c>
      <c r="G71" s="34">
        <f t="shared" ref="G71:I71" si="112">G50-G56+G70</f>
        <v>1.064594697893853</v>
      </c>
      <c r="H71" s="34">
        <f t="shared" si="112"/>
        <v>1.4712800672976878</v>
      </c>
      <c r="I71" s="34">
        <f t="shared" si="112"/>
        <v>1.6301229754278421</v>
      </c>
      <c r="J71" s="34">
        <f t="shared" ref="J71" si="113">J50-J56+J70</f>
        <v>1.9286518844661777</v>
      </c>
      <c r="K71" s="34">
        <f t="shared" ref="K71" si="114">K50-K56+K70</f>
        <v>2.5070896048915321</v>
      </c>
      <c r="L71" s="34">
        <f t="shared" ref="L71" si="115">L50-L56+L70</f>
        <v>3.6007878520443288</v>
      </c>
      <c r="M71" s="34">
        <f t="shared" ref="M71" si="116">M50-M56+M70</f>
        <v>3.5904988391320014</v>
      </c>
      <c r="N71" s="34">
        <f t="shared" ref="N71" si="117">N50-N56+N70</f>
        <v>4.0151861678272009</v>
      </c>
      <c r="O71" s="34">
        <f t="shared" ref="O71" si="118">O50-O56+O70</f>
        <v>3.9439039851141153</v>
      </c>
      <c r="P71" s="34">
        <f t="shared" ref="P71" si="119">P50-P56+P70</f>
        <v>4.59454318834152</v>
      </c>
      <c r="Q71" s="34">
        <f t="shared" ref="Q71" si="120">Q50-Q56+Q70</f>
        <v>4.9976349816069954</v>
      </c>
      <c r="R71" s="34">
        <f t="shared" ref="R71" si="121">R50-R56+R70</f>
        <v>5.6115219622997872</v>
      </c>
      <c r="S71" s="34">
        <f t="shared" ref="S71" si="122">S50-S56+S70</f>
        <v>5.7028043377460422</v>
      </c>
      <c r="T71" s="8"/>
      <c r="U71" s="8"/>
      <c r="V71" s="8"/>
      <c r="W71" s="8"/>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row>
    <row r="72" spans="1:50" x14ac:dyDescent="0.3">
      <c r="D72" s="8"/>
      <c r="E72" s="34"/>
      <c r="F72" s="8"/>
      <c r="G72" s="8"/>
      <c r="H72" s="8"/>
      <c r="I72" s="8"/>
      <c r="J72" s="8"/>
      <c r="K72" s="8"/>
      <c r="L72" s="8"/>
      <c r="M72" s="8"/>
      <c r="N72" s="8"/>
      <c r="O72" s="8"/>
      <c r="P72" s="8"/>
      <c r="Q72" s="8"/>
      <c r="R72" s="8"/>
      <c r="S72" s="8"/>
      <c r="T72" s="8"/>
      <c r="U72" s="44"/>
      <c r="V72" s="8"/>
      <c r="W72" s="8"/>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row>
    <row r="73" spans="1:50" x14ac:dyDescent="0.3">
      <c r="A73" s="1" t="s">
        <v>97</v>
      </c>
      <c r="D73" s="8"/>
      <c r="E73" s="34">
        <f>E74-E71</f>
        <v>8.4999999999999853E-2</v>
      </c>
      <c r="F73" s="17">
        <f>E73*1.1</f>
        <v>9.3499999999999847E-2</v>
      </c>
      <c r="G73" s="17">
        <f t="shared" ref="G73:S73" si="123">F73*1.1</f>
        <v>0.10284999999999984</v>
      </c>
      <c r="H73" s="17">
        <f t="shared" si="123"/>
        <v>0.11313499999999983</v>
      </c>
      <c r="I73" s="17">
        <f t="shared" si="123"/>
        <v>0.12444849999999982</v>
      </c>
      <c r="J73" s="17">
        <f t="shared" si="123"/>
        <v>0.1368933499999998</v>
      </c>
      <c r="K73" s="17">
        <f t="shared" si="123"/>
        <v>0.1505826849999998</v>
      </c>
      <c r="L73" s="17">
        <f t="shared" si="123"/>
        <v>0.1656409534999998</v>
      </c>
      <c r="M73" s="17">
        <f t="shared" si="123"/>
        <v>0.1822050488499998</v>
      </c>
      <c r="N73" s="17">
        <f t="shared" si="123"/>
        <v>0.20042555373499979</v>
      </c>
      <c r="O73" s="17">
        <f t="shared" si="123"/>
        <v>0.22046810910849979</v>
      </c>
      <c r="P73" s="17">
        <f t="shared" si="123"/>
        <v>0.24251492001934979</v>
      </c>
      <c r="Q73" s="17">
        <f t="shared" si="123"/>
        <v>0.26676641202128482</v>
      </c>
      <c r="R73" s="17">
        <f t="shared" si="123"/>
        <v>0.2934430532234133</v>
      </c>
      <c r="S73" s="17">
        <f t="shared" si="123"/>
        <v>0.32278735854575463</v>
      </c>
      <c r="T73" s="8"/>
      <c r="U73" s="8"/>
      <c r="V73" s="8"/>
      <c r="W73" s="8"/>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s="2" customFormat="1" x14ac:dyDescent="0.3">
      <c r="A74" s="2" t="s">
        <v>98</v>
      </c>
      <c r="B74" s="21">
        <v>0.89700000000000002</v>
      </c>
      <c r="C74" s="21">
        <v>-2.8000000000000001E-2</v>
      </c>
      <c r="D74" s="21">
        <v>0.371</v>
      </c>
      <c r="E74" s="56">
        <v>0.876</v>
      </c>
      <c r="F74" s="37">
        <f>F71+F73</f>
        <v>0.98495528929465848</v>
      </c>
      <c r="G74" s="37">
        <f t="shared" ref="G74:I74" si="124">G71+G73</f>
        <v>1.1674446978938529</v>
      </c>
      <c r="H74" s="37">
        <f t="shared" si="124"/>
        <v>1.5844150672976876</v>
      </c>
      <c r="I74" s="37">
        <f t="shared" si="124"/>
        <v>1.7545714754278419</v>
      </c>
      <c r="J74" s="37">
        <f t="shared" ref="J74" si="125">J71+J73</f>
        <v>2.0655452344661773</v>
      </c>
      <c r="K74" s="37">
        <f t="shared" ref="K74" si="126">K71+K73</f>
        <v>2.6576722898915319</v>
      </c>
      <c r="L74" s="37">
        <f t="shared" ref="L74" si="127">L71+L73</f>
        <v>3.7664288055443285</v>
      </c>
      <c r="M74" s="37">
        <f t="shared" ref="M74" si="128">M71+M73</f>
        <v>3.7727038879820012</v>
      </c>
      <c r="N74" s="37">
        <f t="shared" ref="N74" si="129">N71+N73</f>
        <v>4.2156117215622011</v>
      </c>
      <c r="O74" s="37">
        <f t="shared" ref="O74" si="130">O71+O73</f>
        <v>4.1643720942226148</v>
      </c>
      <c r="P74" s="37">
        <f t="shared" ref="P74" si="131">P71+P73</f>
        <v>4.8370581083608695</v>
      </c>
      <c r="Q74" s="37">
        <f t="shared" ref="Q74" si="132">Q71+Q73</f>
        <v>5.2644013936282805</v>
      </c>
      <c r="R74" s="37">
        <f t="shared" ref="R74" si="133">R71+R73</f>
        <v>5.9049650155232003</v>
      </c>
      <c r="S74" s="37">
        <f t="shared" ref="S74" si="134">S71+S73</f>
        <v>6.025591696291797</v>
      </c>
      <c r="T74" s="24"/>
      <c r="U74" s="24"/>
      <c r="V74" s="24"/>
      <c r="W74" s="24"/>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row>
    <row r="75" spans="1:50" x14ac:dyDescent="0.3">
      <c r="D75" s="8"/>
      <c r="E75" s="8"/>
      <c r="F75" s="8"/>
      <c r="G75" s="8"/>
      <c r="H75" s="8"/>
      <c r="I75" s="8"/>
      <c r="J75" s="8"/>
      <c r="K75" s="8"/>
      <c r="L75" s="8"/>
      <c r="M75" s="8"/>
      <c r="N75" s="8"/>
      <c r="O75" s="8"/>
      <c r="P75" s="8"/>
      <c r="Q75" s="8"/>
      <c r="R75" s="8"/>
      <c r="S75" s="8"/>
      <c r="T75" s="8"/>
      <c r="U75" s="8"/>
      <c r="V75" s="8"/>
      <c r="W75" s="8"/>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x14ac:dyDescent="0.3">
      <c r="A76" s="2" t="s">
        <v>133</v>
      </c>
      <c r="D76" s="8"/>
      <c r="E76" s="8"/>
      <c r="F76" s="8"/>
      <c r="G76" s="8"/>
      <c r="H76" s="8"/>
      <c r="I76" s="8"/>
      <c r="J76" s="8"/>
      <c r="K76" s="8"/>
      <c r="L76" s="8"/>
      <c r="M76" s="8"/>
      <c r="N76" s="8"/>
      <c r="O76" s="8"/>
      <c r="P76" s="8"/>
      <c r="Q76" s="8"/>
      <c r="R76" s="8"/>
      <c r="S76" s="8"/>
      <c r="T76" s="8"/>
      <c r="U76" s="8"/>
      <c r="V76" s="8"/>
      <c r="W76" s="8"/>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1:50" hidden="1" outlineLevel="1" x14ac:dyDescent="0.3">
      <c r="A77" s="1" t="s">
        <v>64</v>
      </c>
      <c r="D77" s="8"/>
      <c r="E77" s="8">
        <f>SUM(B74:E74)</f>
        <v>2.1160000000000001</v>
      </c>
      <c r="F77" s="8">
        <f>SUM(C74:F74)</f>
        <v>2.2039552892946581</v>
      </c>
      <c r="G77" s="8">
        <f>SUM(D74:G74)</f>
        <v>3.3993999871885112</v>
      </c>
      <c r="H77" s="8">
        <f>SUM(E74:H74)</f>
        <v>4.612815054486199</v>
      </c>
      <c r="I77" s="8">
        <f>SUM(F74:I74)</f>
        <v>5.4913865299140401</v>
      </c>
      <c r="J77" s="8">
        <f>SUM(G74:J74)</f>
        <v>6.5719764750855596</v>
      </c>
      <c r="K77" s="8">
        <f>SUM(H74:K74)</f>
        <v>8.0622040670832398</v>
      </c>
      <c r="L77" s="8">
        <f>SUM(I74:L74)</f>
        <v>10.244217805329878</v>
      </c>
      <c r="M77" s="8">
        <f>SUM(J74:M74)</f>
        <v>12.262350217884038</v>
      </c>
      <c r="N77" s="8">
        <f>SUM(K74:N74)</f>
        <v>14.412416704980062</v>
      </c>
      <c r="O77" s="8">
        <f>SUM(L74:O74)</f>
        <v>15.919116509311145</v>
      </c>
      <c r="P77" s="8">
        <f>SUM(M74:P74)</f>
        <v>16.989745812127687</v>
      </c>
      <c r="Q77" s="8">
        <f>SUM(N74:Q74)</f>
        <v>18.481443317773966</v>
      </c>
      <c r="R77" s="8">
        <f>SUM(O74:R74)</f>
        <v>20.170796611734964</v>
      </c>
      <c r="S77" s="8">
        <f>SUM(P74:S74)</f>
        <v>22.032016213804148</v>
      </c>
      <c r="T77" s="8"/>
      <c r="U77" s="8"/>
      <c r="V77" s="8"/>
      <c r="W77" s="8"/>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1:50" hidden="1" outlineLevel="1" x14ac:dyDescent="0.3">
      <c r="A78" s="1" t="s">
        <v>65</v>
      </c>
      <c r="D78" s="8"/>
      <c r="E78" s="8">
        <f>SUM(F74:I74)</f>
        <v>5.4913865299140401</v>
      </c>
      <c r="F78" s="8">
        <f>SUM(G74:J74)</f>
        <v>6.5719764750855596</v>
      </c>
      <c r="G78" s="8">
        <f>SUM(H74:K74)</f>
        <v>8.0622040670832398</v>
      </c>
      <c r="H78" s="8">
        <f>SUM(I74:L74)</f>
        <v>10.244217805329878</v>
      </c>
      <c r="I78" s="8">
        <f>SUM(J74:M74)</f>
        <v>12.262350217884038</v>
      </c>
      <c r="J78" s="8">
        <f>SUM(K74:N74)</f>
        <v>14.412416704980062</v>
      </c>
      <c r="K78" s="8">
        <f>SUM(L74:O74)</f>
        <v>15.919116509311145</v>
      </c>
      <c r="L78" s="8">
        <f>SUM(M74:P74)</f>
        <v>16.989745812127687</v>
      </c>
      <c r="M78" s="8">
        <f>SUM(N74:Q74)</f>
        <v>18.481443317773966</v>
      </c>
      <c r="N78" s="8">
        <f>SUM(O74:R74)</f>
        <v>20.170796611734964</v>
      </c>
      <c r="O78" s="8">
        <f>SUM(P74:S74)</f>
        <v>22.032016213804148</v>
      </c>
      <c r="P78" s="42"/>
      <c r="Q78" s="42"/>
      <c r="R78" s="42"/>
      <c r="S78" s="42"/>
      <c r="T78" s="8"/>
      <c r="U78" s="8"/>
      <c r="V78" s="8"/>
      <c r="W78" s="8"/>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row>
    <row r="79" spans="1:50" collapsed="1" x14ac:dyDescent="0.3">
      <c r="A79" s="1" t="s">
        <v>140</v>
      </c>
      <c r="D79" s="8"/>
      <c r="E79" s="22">
        <v>30</v>
      </c>
      <c r="F79" s="22">
        <f>E79-2</f>
        <v>28</v>
      </c>
      <c r="G79" s="22">
        <f t="shared" ref="G79:J79" si="135">F79-2</f>
        <v>26</v>
      </c>
      <c r="H79" s="22">
        <f t="shared" si="135"/>
        <v>24</v>
      </c>
      <c r="I79" s="22">
        <f t="shared" si="135"/>
        <v>22</v>
      </c>
      <c r="J79" s="22">
        <f t="shared" si="135"/>
        <v>20</v>
      </c>
      <c r="K79" s="22">
        <f>J79</f>
        <v>20</v>
      </c>
      <c r="L79" s="22">
        <f t="shared" ref="L79:S79" si="136">K79</f>
        <v>20</v>
      </c>
      <c r="M79" s="22">
        <f t="shared" si="136"/>
        <v>20</v>
      </c>
      <c r="N79" s="22">
        <f t="shared" si="136"/>
        <v>20</v>
      </c>
      <c r="O79" s="22">
        <f t="shared" si="136"/>
        <v>20</v>
      </c>
      <c r="P79" s="22">
        <f t="shared" si="136"/>
        <v>20</v>
      </c>
      <c r="Q79" s="22">
        <f t="shared" si="136"/>
        <v>20</v>
      </c>
      <c r="R79" s="22">
        <f t="shared" si="136"/>
        <v>20</v>
      </c>
      <c r="S79" s="22">
        <f t="shared" si="136"/>
        <v>20</v>
      </c>
      <c r="T79" s="8"/>
      <c r="U79" s="8"/>
      <c r="V79" s="8"/>
      <c r="W79" s="8"/>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row>
    <row r="80" spans="1:50" x14ac:dyDescent="0.3">
      <c r="A80" s="1" t="s">
        <v>141</v>
      </c>
      <c r="D80" s="8"/>
      <c r="E80" s="22">
        <v>18</v>
      </c>
      <c r="F80" s="22">
        <f>E80-1</f>
        <v>17</v>
      </c>
      <c r="G80" s="22">
        <f t="shared" ref="G80:J80" si="137">F80-1</f>
        <v>16</v>
      </c>
      <c r="H80" s="22">
        <f t="shared" si="137"/>
        <v>15</v>
      </c>
      <c r="I80" s="22">
        <f t="shared" si="137"/>
        <v>14</v>
      </c>
      <c r="J80" s="22">
        <f t="shared" si="137"/>
        <v>13</v>
      </c>
      <c r="K80" s="22">
        <f t="shared" ref="K80:S80" si="138">J80</f>
        <v>13</v>
      </c>
      <c r="L80" s="22">
        <f t="shared" si="138"/>
        <v>13</v>
      </c>
      <c r="M80" s="22">
        <f t="shared" si="138"/>
        <v>13</v>
      </c>
      <c r="N80" s="22">
        <f t="shared" si="138"/>
        <v>13</v>
      </c>
      <c r="O80" s="22">
        <f t="shared" si="138"/>
        <v>13</v>
      </c>
      <c r="P80" s="22">
        <f t="shared" si="138"/>
        <v>13</v>
      </c>
      <c r="Q80" s="22">
        <f t="shared" si="138"/>
        <v>13</v>
      </c>
      <c r="R80" s="22">
        <f t="shared" si="138"/>
        <v>13</v>
      </c>
      <c r="S80" s="22">
        <f t="shared" si="138"/>
        <v>13</v>
      </c>
      <c r="T80" s="8"/>
      <c r="U80" s="8"/>
      <c r="V80" s="8"/>
      <c r="W80" s="8"/>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row>
    <row r="81" spans="1:50" hidden="1" outlineLevel="1" x14ac:dyDescent="0.3">
      <c r="A81" s="1" t="s">
        <v>67</v>
      </c>
      <c r="D81" s="8"/>
      <c r="E81" s="8">
        <f>E77*E79</f>
        <v>63.480000000000004</v>
      </c>
      <c r="F81" s="8">
        <f>F77*F79</f>
        <v>61.710748100250427</v>
      </c>
      <c r="G81" s="8">
        <f t="shared" ref="G81:J81" si="139">G77*G79</f>
        <v>88.384399666901288</v>
      </c>
      <c r="H81" s="8">
        <f t="shared" si="139"/>
        <v>110.70756130766878</v>
      </c>
      <c r="I81" s="8">
        <f t="shared" si="139"/>
        <v>120.81050365810889</v>
      </c>
      <c r="J81" s="8">
        <f t="shared" si="139"/>
        <v>131.43952950171121</v>
      </c>
      <c r="K81" s="8">
        <f t="shared" ref="K81:S81" si="140">K77*K79</f>
        <v>161.24408134166481</v>
      </c>
      <c r="L81" s="8">
        <f t="shared" si="140"/>
        <v>204.88435610659758</v>
      </c>
      <c r="M81" s="8">
        <f t="shared" si="140"/>
        <v>245.24700435768074</v>
      </c>
      <c r="N81" s="8">
        <f t="shared" si="140"/>
        <v>288.24833409960127</v>
      </c>
      <c r="O81" s="8">
        <f t="shared" si="140"/>
        <v>318.38233018622293</v>
      </c>
      <c r="P81" s="8">
        <f t="shared" si="140"/>
        <v>339.79491624255377</v>
      </c>
      <c r="Q81" s="8">
        <f t="shared" si="140"/>
        <v>369.62886635547932</v>
      </c>
      <c r="R81" s="8">
        <f t="shared" si="140"/>
        <v>403.41593223469931</v>
      </c>
      <c r="S81" s="8">
        <f t="shared" si="140"/>
        <v>440.64032427608299</v>
      </c>
      <c r="T81" s="8"/>
      <c r="U81" s="8"/>
      <c r="V81" s="8"/>
      <c r="W81" s="8"/>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1:50" hidden="1" outlineLevel="1" x14ac:dyDescent="0.3">
      <c r="A82" s="1" t="s">
        <v>66</v>
      </c>
      <c r="D82" s="8"/>
      <c r="E82" s="8">
        <f>E78*E80</f>
        <v>98.844957538452718</v>
      </c>
      <c r="F82" s="8">
        <f>F78*F80</f>
        <v>111.72360007645452</v>
      </c>
      <c r="G82" s="8">
        <f t="shared" ref="G82:J82" si="141">G78*G80</f>
        <v>128.99526507333184</v>
      </c>
      <c r="H82" s="8">
        <f t="shared" si="141"/>
        <v>153.66326707994818</v>
      </c>
      <c r="I82" s="8">
        <f t="shared" si="141"/>
        <v>171.67290305037653</v>
      </c>
      <c r="J82" s="8">
        <f t="shared" si="141"/>
        <v>187.3614171647408</v>
      </c>
      <c r="K82" s="8">
        <f t="shared" ref="K82:O82" si="142">K78*K80</f>
        <v>206.94851462104489</v>
      </c>
      <c r="L82" s="8">
        <f t="shared" si="142"/>
        <v>220.86669555765994</v>
      </c>
      <c r="M82" s="8">
        <f t="shared" si="142"/>
        <v>240.25876313106156</v>
      </c>
      <c r="N82" s="8">
        <f t="shared" si="142"/>
        <v>262.22035595255454</v>
      </c>
      <c r="O82" s="8">
        <f t="shared" si="142"/>
        <v>286.41621077945393</v>
      </c>
      <c r="P82" s="6"/>
      <c r="Q82" s="6"/>
      <c r="R82" s="6"/>
      <c r="S82" s="6"/>
      <c r="T82" s="8"/>
      <c r="U82" s="8"/>
      <c r="V82" s="8"/>
      <c r="W82" s="8"/>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1:50" hidden="1" outlineLevel="1" x14ac:dyDescent="0.3">
      <c r="A83" s="1" t="s">
        <v>134</v>
      </c>
      <c r="E83" s="28">
        <f>SUM(B68:E68)</f>
        <v>-0.22829116733244481</v>
      </c>
      <c r="F83" s="28">
        <f>SUM(C68:F68)</f>
        <v>4.3540071943667602E-2</v>
      </c>
      <c r="G83" s="28">
        <f>SUM(D68:G68)</f>
        <v>5.5781934666672015</v>
      </c>
      <c r="H83" s="28">
        <f>SUM(E68:H68)</f>
        <v>10.858690697655529</v>
      </c>
      <c r="I83" s="28">
        <f>SUM(F68:I68)</f>
        <v>13.636667677431484</v>
      </c>
      <c r="J83" s="28">
        <f>SUM(G68:J68)</f>
        <v>17.060873828964304</v>
      </c>
      <c r="K83" s="28">
        <f>SUM(H68:K68)</f>
        <v>22.03331371937119</v>
      </c>
      <c r="L83" s="28">
        <f>SUM(I68:L68)</f>
        <v>29.480651346404045</v>
      </c>
      <c r="M83" s="28">
        <f>SUM(J68:M68)</f>
        <v>36.332382637945578</v>
      </c>
      <c r="N83" s="28">
        <f>SUM(K68:N68)</f>
        <v>43.759778543248373</v>
      </c>
      <c r="O83" s="28">
        <f>SUM(L68:O68)</f>
        <v>48.912621299691956</v>
      </c>
      <c r="P83" s="28">
        <f>SUM(M68:P68)</f>
        <v>52.471410734095407</v>
      </c>
      <c r="Q83" s="28">
        <f>SUM(N68:Q68)</f>
        <v>57.62704711327244</v>
      </c>
      <c r="R83" s="28">
        <f>SUM(O68:R68)</f>
        <v>63.489333212498757</v>
      </c>
      <c r="S83" s="28">
        <f>SUM(P68:S68)</f>
        <v>69.958625714667264</v>
      </c>
    </row>
    <row r="84" spans="1:50" hidden="1" outlineLevel="1" x14ac:dyDescent="0.3">
      <c r="A84" s="1" t="s">
        <v>135</v>
      </c>
      <c r="D84" s="8"/>
      <c r="E84" s="8">
        <f>SUM(F68:I68)</f>
        <v>13.636667677431484</v>
      </c>
      <c r="F84" s="8">
        <f>SUM(G68:J68)</f>
        <v>17.060873828964304</v>
      </c>
      <c r="G84" s="8">
        <f>SUM(H68:K68)</f>
        <v>22.03331371937119</v>
      </c>
      <c r="H84" s="8">
        <f>SUM(I68:L68)</f>
        <v>29.480651346404045</v>
      </c>
      <c r="I84" s="8">
        <f>SUM(J68:M68)</f>
        <v>36.332382637945578</v>
      </c>
      <c r="J84" s="8">
        <f>SUM(K68:N68)</f>
        <v>43.759778543248373</v>
      </c>
      <c r="K84" s="8">
        <f>SUM(L68:O68)</f>
        <v>48.912621299691956</v>
      </c>
      <c r="L84" s="8">
        <f>SUM(M68:P68)</f>
        <v>52.471410734095407</v>
      </c>
      <c r="M84" s="8">
        <f>SUM(N68:Q68)</f>
        <v>57.62704711327244</v>
      </c>
      <c r="N84" s="8">
        <f>SUM(O68:R68)</f>
        <v>63.489333212498757</v>
      </c>
      <c r="O84" s="8">
        <f>SUM(P68:S68)</f>
        <v>69.958625714667264</v>
      </c>
      <c r="P84" s="6"/>
      <c r="Q84" s="6"/>
      <c r="R84" s="6"/>
      <c r="S84" s="6"/>
      <c r="T84" s="8"/>
      <c r="U84" s="8"/>
      <c r="V84" s="8"/>
      <c r="W84" s="8"/>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1:50" collapsed="1" x14ac:dyDescent="0.3">
      <c r="A85" s="1" t="s">
        <v>142</v>
      </c>
      <c r="D85" s="8"/>
      <c r="E85" s="22">
        <v>50</v>
      </c>
      <c r="F85" s="22">
        <f>E85-1</f>
        <v>49</v>
      </c>
      <c r="G85" s="22">
        <f t="shared" ref="G85:S85" si="143">F85-1</f>
        <v>48</v>
      </c>
      <c r="H85" s="22">
        <f t="shared" si="143"/>
        <v>47</v>
      </c>
      <c r="I85" s="22">
        <f t="shared" si="143"/>
        <v>46</v>
      </c>
      <c r="J85" s="22">
        <f t="shared" si="143"/>
        <v>45</v>
      </c>
      <c r="K85" s="22">
        <f t="shared" si="143"/>
        <v>44</v>
      </c>
      <c r="L85" s="22">
        <f t="shared" si="143"/>
        <v>43</v>
      </c>
      <c r="M85" s="22">
        <f t="shared" si="143"/>
        <v>42</v>
      </c>
      <c r="N85" s="22">
        <f t="shared" si="143"/>
        <v>41</v>
      </c>
      <c r="O85" s="22">
        <f t="shared" si="143"/>
        <v>40</v>
      </c>
      <c r="P85" s="22">
        <f t="shared" si="143"/>
        <v>39</v>
      </c>
      <c r="Q85" s="22">
        <f t="shared" si="143"/>
        <v>38</v>
      </c>
      <c r="R85" s="22">
        <f t="shared" si="143"/>
        <v>37</v>
      </c>
      <c r="S85" s="22">
        <f t="shared" si="143"/>
        <v>36</v>
      </c>
      <c r="T85" s="8"/>
      <c r="U85" s="8"/>
      <c r="V85" s="8"/>
      <c r="W85" s="8"/>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row>
    <row r="86" spans="1:50" x14ac:dyDescent="0.3">
      <c r="A86" s="1" t="s">
        <v>143</v>
      </c>
      <c r="D86" s="8"/>
      <c r="E86" s="22">
        <v>35</v>
      </c>
      <c r="F86" s="22">
        <f>E86-1</f>
        <v>34</v>
      </c>
      <c r="G86" s="22">
        <f t="shared" ref="G86:O86" si="144">F86-1</f>
        <v>33</v>
      </c>
      <c r="H86" s="22">
        <f t="shared" si="144"/>
        <v>32</v>
      </c>
      <c r="I86" s="22">
        <f t="shared" si="144"/>
        <v>31</v>
      </c>
      <c r="J86" s="22">
        <f t="shared" si="144"/>
        <v>30</v>
      </c>
      <c r="K86" s="22">
        <f t="shared" si="144"/>
        <v>29</v>
      </c>
      <c r="L86" s="22">
        <f t="shared" si="144"/>
        <v>28</v>
      </c>
      <c r="M86" s="22">
        <f t="shared" si="144"/>
        <v>27</v>
      </c>
      <c r="N86" s="22">
        <f t="shared" si="144"/>
        <v>26</v>
      </c>
      <c r="O86" s="22">
        <f t="shared" si="144"/>
        <v>25</v>
      </c>
      <c r="P86" s="65"/>
      <c r="Q86" s="65"/>
      <c r="R86" s="65"/>
      <c r="S86" s="65"/>
      <c r="T86" s="8"/>
      <c r="U86" s="8"/>
      <c r="V86" s="8"/>
      <c r="W86" s="8"/>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row>
    <row r="87" spans="1:50" ht="17.25" thickBot="1" x14ac:dyDescent="0.35">
      <c r="A87" s="2"/>
      <c r="D87" s="8"/>
      <c r="E87" s="8"/>
      <c r="F87" s="8"/>
      <c r="G87" s="8"/>
      <c r="H87" s="8"/>
      <c r="I87" s="8"/>
      <c r="J87" s="8"/>
      <c r="K87" s="8"/>
      <c r="L87" s="8"/>
      <c r="M87" s="8"/>
      <c r="N87" s="8"/>
      <c r="O87" s="8"/>
      <c r="P87" s="8"/>
      <c r="Q87" s="8"/>
      <c r="R87" s="8"/>
      <c r="S87" s="8"/>
      <c r="T87" s="8"/>
      <c r="U87" s="8"/>
      <c r="V87" s="8"/>
      <c r="W87" s="8"/>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row>
    <row r="88" spans="1:50" s="2" customFormat="1" x14ac:dyDescent="0.3">
      <c r="A88" s="67" t="s">
        <v>136</v>
      </c>
      <c r="B88" s="68"/>
      <c r="C88" s="68"/>
      <c r="D88" s="69"/>
      <c r="E88" s="74">
        <f>(E81-10)/E65*1000</f>
        <v>296.71549045716824</v>
      </c>
      <c r="F88" s="74">
        <f>(F81-10)/F65*1000</f>
        <v>286.89940135513996</v>
      </c>
      <c r="G88" s="74">
        <f>(G81-10)/G65*1000</f>
        <v>425.32719633462813</v>
      </c>
      <c r="H88" s="74">
        <f>(H81-10)/H65*1000</f>
        <v>534.70013012184506</v>
      </c>
      <c r="I88" s="74">
        <f>(I81-10)/I65*1000</f>
        <v>575.95014271663081</v>
      </c>
      <c r="J88" s="74">
        <f>(J81-10)/J65*1000</f>
        <v>618.17646146415962</v>
      </c>
      <c r="K88" s="74">
        <f>(K81-10)/K65*1000</f>
        <v>754.33457028261762</v>
      </c>
      <c r="L88" s="74">
        <f>(L81-10)/L65*1000</f>
        <v>971.99180103041203</v>
      </c>
      <c r="M88" s="74">
        <f>(M81-10)/M65*1000</f>
        <v>1173.3017673699787</v>
      </c>
      <c r="N88" s="75">
        <f>(N81-10)/N65*1000</f>
        <v>1387.7722398982608</v>
      </c>
      <c r="O88" s="11">
        <f>(O81-10)/O65*1000</f>
        <v>1538.0664847193166</v>
      </c>
      <c r="P88" s="11">
        <f>(P81-10)/P65*1000</f>
        <v>1644.8624251498945</v>
      </c>
      <c r="Q88" s="11">
        <f>(Q81-10)/Q65*1000</f>
        <v>1793.6601813240866</v>
      </c>
      <c r="R88" s="11">
        <f>(R81-10)/R65*1000</f>
        <v>1962.1742256094733</v>
      </c>
      <c r="S88" s="11">
        <f>(S81-10)/S65*1000</f>
        <v>2147.8320412772223</v>
      </c>
      <c r="T88" s="24"/>
      <c r="U88" s="24"/>
      <c r="V88" s="24"/>
      <c r="W88" s="24"/>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row>
    <row r="89" spans="1:50" s="2" customFormat="1" x14ac:dyDescent="0.3">
      <c r="A89" s="70" t="s">
        <v>137</v>
      </c>
      <c r="B89" s="71"/>
      <c r="C89" s="71"/>
      <c r="D89" s="43"/>
      <c r="E89" s="76">
        <f>(E82-10)/E65*1000</f>
        <v>492.92586295191256</v>
      </c>
      <c r="F89" s="76">
        <f>(F82-10)/F65*1000</f>
        <v>564.37860672688919</v>
      </c>
      <c r="G89" s="76">
        <f>(G82-10)/G65*1000</f>
        <v>645.68871721687242</v>
      </c>
      <c r="H89" s="76">
        <f>(H82-10)/H65*1000</f>
        <v>762.77060633706503</v>
      </c>
      <c r="I89" s="76">
        <f>(I82-10)/I65*1000</f>
        <v>840.31322402948376</v>
      </c>
      <c r="J89" s="76">
        <f>(J82-10)/J65*1000</f>
        <v>902.84155178337687</v>
      </c>
      <c r="K89" s="76">
        <f>(K82-10)/K65*1000</f>
        <v>982.28685596531125</v>
      </c>
      <c r="L89" s="76">
        <f>(L82-10)/L65*1000</f>
        <v>1051.704217245187</v>
      </c>
      <c r="M89" s="76">
        <f>(M82-10)/M65*1000</f>
        <v>1148.4227587584119</v>
      </c>
      <c r="N89" s="77">
        <f>(N82-10)/N65*1000</f>
        <v>1257.9568875439131</v>
      </c>
      <c r="O89" s="11">
        <f>(O82-10)/O65*1000</f>
        <v>1378.6344677279501</v>
      </c>
      <c r="P89" s="65"/>
      <c r="Q89" s="65"/>
      <c r="R89" s="65"/>
      <c r="S89" s="65"/>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row>
    <row r="90" spans="1:50" x14ac:dyDescent="0.3">
      <c r="A90" s="70" t="s">
        <v>138</v>
      </c>
      <c r="B90" s="71"/>
      <c r="C90" s="71"/>
      <c r="D90" s="40"/>
      <c r="E90" s="78" t="str">
        <f>IF(E83&lt;0,"N/A",E85*E83)</f>
        <v>N/A</v>
      </c>
      <c r="F90" s="76">
        <f t="shared" ref="F90:S90" si="145">IF(F83&lt;0,"N/A",F85*F83)</f>
        <v>2.1334635252397125</v>
      </c>
      <c r="G90" s="76">
        <f t="shared" si="145"/>
        <v>267.75328640002567</v>
      </c>
      <c r="H90" s="76">
        <f t="shared" si="145"/>
        <v>510.35846278980989</v>
      </c>
      <c r="I90" s="76">
        <f t="shared" si="145"/>
        <v>627.2867131618483</v>
      </c>
      <c r="J90" s="76">
        <f t="shared" si="145"/>
        <v>767.73932230339369</v>
      </c>
      <c r="K90" s="76">
        <f t="shared" si="145"/>
        <v>969.4658036523324</v>
      </c>
      <c r="L90" s="76">
        <f t="shared" si="145"/>
        <v>1267.6680078953739</v>
      </c>
      <c r="M90" s="76">
        <f t="shared" si="145"/>
        <v>1525.9600707937143</v>
      </c>
      <c r="N90" s="77">
        <f t="shared" si="145"/>
        <v>1794.1509202731834</v>
      </c>
      <c r="O90" s="11">
        <f t="shared" si="145"/>
        <v>1956.5048519876782</v>
      </c>
      <c r="P90" s="11">
        <f t="shared" si="145"/>
        <v>2046.3850186297209</v>
      </c>
      <c r="Q90" s="11">
        <f t="shared" si="145"/>
        <v>2189.8277903043527</v>
      </c>
      <c r="R90" s="11">
        <f t="shared" si="145"/>
        <v>2349.1053288624539</v>
      </c>
      <c r="S90" s="11">
        <f t="shared" si="145"/>
        <v>2518.5105257280215</v>
      </c>
      <c r="T90" s="8"/>
      <c r="U90" s="8"/>
      <c r="V90" s="8"/>
      <c r="W90" s="8"/>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row>
    <row r="91" spans="1:50" ht="17.25" thickBot="1" x14ac:dyDescent="0.35">
      <c r="A91" s="72" t="s">
        <v>139</v>
      </c>
      <c r="B91" s="73"/>
      <c r="C91" s="73"/>
      <c r="D91" s="73"/>
      <c r="E91" s="79">
        <f>E86*E84</f>
        <v>477.28336871010197</v>
      </c>
      <c r="F91" s="79">
        <f t="shared" ref="F91:O91" si="146">F86*F84</f>
        <v>580.06971018478635</v>
      </c>
      <c r="G91" s="79">
        <f t="shared" si="146"/>
        <v>727.0993527392493</v>
      </c>
      <c r="H91" s="79">
        <f t="shared" si="146"/>
        <v>943.38084308492944</v>
      </c>
      <c r="I91" s="79">
        <f t="shared" si="146"/>
        <v>1126.3038617763129</v>
      </c>
      <c r="J91" s="79">
        <f t="shared" si="146"/>
        <v>1312.7933562974513</v>
      </c>
      <c r="K91" s="79">
        <f t="shared" si="146"/>
        <v>1418.4660176910668</v>
      </c>
      <c r="L91" s="79">
        <f t="shared" si="146"/>
        <v>1469.1995005546714</v>
      </c>
      <c r="M91" s="79">
        <f t="shared" si="146"/>
        <v>1555.930272058356</v>
      </c>
      <c r="N91" s="80">
        <f t="shared" si="146"/>
        <v>1650.7226635249676</v>
      </c>
      <c r="O91" s="11">
        <f t="shared" si="146"/>
        <v>1748.9656428666815</v>
      </c>
      <c r="P91" s="65"/>
      <c r="Q91" s="65"/>
      <c r="R91" s="65"/>
      <c r="S91" s="65"/>
    </row>
    <row r="93" spans="1:50" x14ac:dyDescent="0.3">
      <c r="A93" s="2" t="s">
        <v>112</v>
      </c>
      <c r="D93" s="3"/>
      <c r="E93" s="12"/>
      <c r="F93" s="12"/>
      <c r="G93" s="12"/>
      <c r="H93" s="12"/>
      <c r="I93" s="12"/>
      <c r="J93" s="12"/>
      <c r="K93" s="12"/>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row>
    <row r="94" spans="1:50" x14ac:dyDescent="0.3">
      <c r="A94" s="1" t="s">
        <v>113</v>
      </c>
      <c r="D94" s="3"/>
      <c r="E94" s="47" t="s">
        <v>120</v>
      </c>
      <c r="F94" s="12"/>
      <c r="G94" s="12"/>
      <c r="H94" s="12"/>
      <c r="I94" s="12"/>
      <c r="J94" s="12"/>
      <c r="K94" s="12"/>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row>
    <row r="95" spans="1:50" x14ac:dyDescent="0.3">
      <c r="A95" s="46" t="s">
        <v>115</v>
      </c>
      <c r="D95" s="3"/>
      <c r="E95" s="48"/>
      <c r="F95" s="33"/>
      <c r="G95" s="33"/>
      <c r="H95" s="33">
        <v>0.2</v>
      </c>
      <c r="I95" s="33">
        <v>0.2</v>
      </c>
      <c r="J95" s="33">
        <v>0.3</v>
      </c>
      <c r="K95" s="33">
        <v>0.5</v>
      </c>
      <c r="L95" s="33">
        <v>0.5</v>
      </c>
      <c r="M95" s="33">
        <v>0.5</v>
      </c>
      <c r="N95" s="33"/>
      <c r="O95" s="33"/>
      <c r="P95" s="33"/>
      <c r="Q95" s="33"/>
      <c r="R95" s="33"/>
      <c r="S95" s="33"/>
      <c r="T95" s="3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row>
    <row r="96" spans="1:50" x14ac:dyDescent="0.3">
      <c r="A96" s="46" t="s">
        <v>114</v>
      </c>
      <c r="D96" s="3"/>
      <c r="E96" s="50"/>
      <c r="F96" s="33">
        <v>0.1</v>
      </c>
      <c r="G96" s="33">
        <v>0.2</v>
      </c>
      <c r="H96" s="33">
        <v>0.2</v>
      </c>
      <c r="I96" s="33">
        <v>0.2</v>
      </c>
      <c r="J96" s="33">
        <v>0.2</v>
      </c>
      <c r="K96" s="33">
        <v>0.2</v>
      </c>
      <c r="L96" s="33">
        <v>0.2</v>
      </c>
      <c r="M96" s="33"/>
      <c r="N96" s="33"/>
      <c r="O96" s="33"/>
      <c r="P96" s="33"/>
      <c r="Q96" s="33"/>
      <c r="R96" s="33"/>
      <c r="S96" s="33"/>
      <c r="T96" s="3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row>
    <row r="97" spans="1:50" x14ac:dyDescent="0.3">
      <c r="A97" s="46" t="s">
        <v>116</v>
      </c>
      <c r="D97" s="3"/>
      <c r="E97" s="48">
        <v>0.7</v>
      </c>
      <c r="F97" s="33">
        <v>0.2</v>
      </c>
      <c r="G97" s="33">
        <v>0.5</v>
      </c>
      <c r="H97" s="33"/>
      <c r="I97" s="33"/>
      <c r="J97" s="33"/>
      <c r="K97" s="33"/>
      <c r="L97" s="33"/>
      <c r="M97" s="33"/>
      <c r="N97" s="33"/>
      <c r="O97" s="33"/>
      <c r="P97" s="33"/>
      <c r="Q97" s="33"/>
      <c r="R97" s="33"/>
      <c r="S97" s="33"/>
      <c r="T97" s="3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row>
    <row r="98" spans="1:50" x14ac:dyDescent="0.3">
      <c r="A98" s="46" t="s">
        <v>117</v>
      </c>
      <c r="D98" s="3"/>
      <c r="E98" s="48"/>
      <c r="F98" s="33"/>
      <c r="G98" s="33">
        <v>0.25</v>
      </c>
      <c r="H98" s="33">
        <v>0.5</v>
      </c>
      <c r="I98" s="33">
        <v>0.75</v>
      </c>
      <c r="J98" s="33">
        <v>0.75</v>
      </c>
      <c r="K98" s="33">
        <v>0.75</v>
      </c>
      <c r="L98" s="33">
        <v>0.75</v>
      </c>
      <c r="M98" s="33">
        <v>0.75</v>
      </c>
      <c r="N98" s="33"/>
      <c r="O98" s="33"/>
      <c r="P98" s="33"/>
      <c r="Q98" s="33"/>
      <c r="R98" s="33"/>
      <c r="S98" s="33"/>
      <c r="T98" s="3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row>
    <row r="99" spans="1:50" x14ac:dyDescent="0.3">
      <c r="A99" s="46" t="s">
        <v>118</v>
      </c>
      <c r="D99" s="3"/>
      <c r="E99" s="49">
        <v>0.3</v>
      </c>
      <c r="F99" s="39">
        <v>0.4</v>
      </c>
      <c r="G99" s="39">
        <v>0.75</v>
      </c>
      <c r="H99" s="39"/>
      <c r="I99" s="39"/>
      <c r="J99" s="39"/>
      <c r="K99" s="39"/>
      <c r="L99" s="39"/>
      <c r="M99" s="39"/>
      <c r="N99" s="33"/>
      <c r="O99" s="33"/>
      <c r="P99" s="33"/>
      <c r="Q99" s="33"/>
      <c r="R99" s="33"/>
      <c r="S99" s="33"/>
      <c r="T99" s="3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row>
    <row r="100" spans="1:50" x14ac:dyDescent="0.3">
      <c r="A100" s="1" t="s">
        <v>119</v>
      </c>
      <c r="D100" s="3"/>
      <c r="E100" s="57">
        <f>SUM(E95:E99)</f>
        <v>1</v>
      </c>
      <c r="F100" s="58">
        <f t="shared" ref="F100:M100" si="147">SUM(F95:F99)</f>
        <v>0.70000000000000007</v>
      </c>
      <c r="G100" s="58">
        <f t="shared" si="147"/>
        <v>1.7</v>
      </c>
      <c r="H100" s="58">
        <f t="shared" si="147"/>
        <v>0.9</v>
      </c>
      <c r="I100" s="58">
        <f t="shared" si="147"/>
        <v>1.1499999999999999</v>
      </c>
      <c r="J100" s="58">
        <f t="shared" si="147"/>
        <v>1.25</v>
      </c>
      <c r="K100" s="58">
        <f t="shared" si="147"/>
        <v>1.45</v>
      </c>
      <c r="L100" s="58">
        <f t="shared" si="147"/>
        <v>1.45</v>
      </c>
      <c r="M100" s="58">
        <f t="shared" si="147"/>
        <v>1.25</v>
      </c>
      <c r="N100" s="33"/>
      <c r="O100" s="33"/>
      <c r="P100" s="33"/>
      <c r="Q100" s="33"/>
      <c r="R100" s="33"/>
      <c r="S100" s="33"/>
      <c r="T100" s="3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row>
    <row r="101" spans="1:50" x14ac:dyDescent="0.3">
      <c r="D101" s="3"/>
      <c r="E101" s="58"/>
      <c r="F101" s="58"/>
      <c r="G101" s="58"/>
      <c r="H101" s="58"/>
      <c r="I101" s="58"/>
      <c r="J101" s="58"/>
      <c r="K101" s="58"/>
      <c r="L101" s="58"/>
      <c r="M101" s="58"/>
      <c r="N101" s="33"/>
      <c r="O101" s="33"/>
      <c r="P101" s="33"/>
      <c r="Q101" s="33"/>
      <c r="R101" s="33"/>
      <c r="S101" s="33"/>
      <c r="T101" s="3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row>
    <row r="102" spans="1:50" s="2" customFormat="1" x14ac:dyDescent="0.3">
      <c r="A102" s="2" t="s">
        <v>129</v>
      </c>
      <c r="D102" s="12"/>
      <c r="E102" s="59">
        <v>5.3380000000000001</v>
      </c>
      <c r="F102" s="59">
        <f>E102-F100+(F74-F42+F22)</f>
        <v>5.720511160858333</v>
      </c>
      <c r="G102" s="59">
        <f>F102-G100+(G74-G42+G22)</f>
        <v>4.9600428801218746</v>
      </c>
      <c r="H102" s="59">
        <f>G102-H100+(H74-H42+H22)</f>
        <v>5.401324422750041</v>
      </c>
      <c r="I102" s="59">
        <f>H102-I100+(I74-I42+I22)</f>
        <v>5.87938652991404</v>
      </c>
      <c r="J102" s="59">
        <f>I102-J100+(J74-J42+J22)</f>
        <v>6.6949317643802173</v>
      </c>
      <c r="K102" s="59">
        <f>J102-K100+(K74-K42+K22)</f>
        <v>7.9026040542717491</v>
      </c>
      <c r="L102" s="59">
        <f>K102-L100+(L74-L42+L22)</f>
        <v>10.219032859816078</v>
      </c>
      <c r="M102" s="59">
        <f>L102-M100+(M74-M42+M22)</f>
        <v>12.741736747798079</v>
      </c>
      <c r="N102" s="60"/>
      <c r="O102" s="60"/>
      <c r="P102" s="60"/>
      <c r="Q102" s="60"/>
      <c r="R102" s="60"/>
      <c r="S102" s="60"/>
      <c r="T102" s="60"/>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row>
    <row r="103" spans="1:50" x14ac:dyDescent="0.3">
      <c r="D103" s="3"/>
      <c r="E103" s="12"/>
      <c r="F103" s="12"/>
      <c r="G103" s="12"/>
      <c r="H103" s="12"/>
      <c r="I103" s="12"/>
      <c r="J103" s="12"/>
      <c r="K103" s="12"/>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row>
    <row r="104" spans="1:50" x14ac:dyDescent="0.3">
      <c r="A104" s="1" t="s">
        <v>121</v>
      </c>
      <c r="D104" s="3"/>
      <c r="E104" s="25">
        <f>E70</f>
        <v>0.53</v>
      </c>
      <c r="F104" s="25">
        <f>SUM(E104:E105)</f>
        <v>0.54666666666666675</v>
      </c>
      <c r="G104" s="25">
        <f t="shared" ref="G104:M104" si="148">SUM(F104:F105)</f>
        <v>0.55833333333333346</v>
      </c>
      <c r="H104" s="25">
        <f t="shared" si="148"/>
        <v>0.58666666666666678</v>
      </c>
      <c r="I104" s="25">
        <f t="shared" si="148"/>
        <v>0.60166666666666679</v>
      </c>
      <c r="J104" s="25">
        <f t="shared" si="148"/>
        <v>0.62083333333333346</v>
      </c>
      <c r="K104" s="25">
        <f t="shared" si="148"/>
        <v>0.64166666666666683</v>
      </c>
      <c r="L104" s="25">
        <f t="shared" si="148"/>
        <v>0.6658333333333335</v>
      </c>
      <c r="M104" s="25">
        <f t="shared" si="148"/>
        <v>0.69000000000000017</v>
      </c>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row>
    <row r="105" spans="1:50" x14ac:dyDescent="0.3">
      <c r="A105" s="1" t="s">
        <v>123</v>
      </c>
      <c r="D105" s="3"/>
      <c r="E105" s="52">
        <f t="shared" ref="E105:M105" si="149">E100/15/4</f>
        <v>1.6666666666666666E-2</v>
      </c>
      <c r="F105" s="52">
        <f t="shared" si="149"/>
        <v>1.1666666666666667E-2</v>
      </c>
      <c r="G105" s="52">
        <f t="shared" si="149"/>
        <v>2.8333333333333332E-2</v>
      </c>
      <c r="H105" s="52">
        <f t="shared" si="149"/>
        <v>1.5000000000000001E-2</v>
      </c>
      <c r="I105" s="52">
        <f t="shared" si="149"/>
        <v>1.9166666666666665E-2</v>
      </c>
      <c r="J105" s="52">
        <f t="shared" si="149"/>
        <v>2.0833333333333332E-2</v>
      </c>
      <c r="K105" s="52">
        <f t="shared" si="149"/>
        <v>2.4166666666666666E-2</v>
      </c>
      <c r="L105" s="52">
        <f t="shared" si="149"/>
        <v>2.4166666666666666E-2</v>
      </c>
      <c r="M105" s="52">
        <f t="shared" si="149"/>
        <v>2.0833333333333332E-2</v>
      </c>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row>
    <row r="106" spans="1:50" s="2" customFormat="1" x14ac:dyDescent="0.3">
      <c r="A106" s="2" t="s">
        <v>122</v>
      </c>
      <c r="D106" s="12"/>
      <c r="E106" s="51">
        <f>SUM(E104:E105)</f>
        <v>0.54666666666666675</v>
      </c>
      <c r="F106" s="51">
        <f t="shared" ref="F106:M106" si="150">SUM(F104:F105)</f>
        <v>0.55833333333333346</v>
      </c>
      <c r="G106" s="51">
        <f t="shared" si="150"/>
        <v>0.58666666666666678</v>
      </c>
      <c r="H106" s="51">
        <f t="shared" si="150"/>
        <v>0.60166666666666679</v>
      </c>
      <c r="I106" s="51">
        <f t="shared" si="150"/>
        <v>0.62083333333333346</v>
      </c>
      <c r="J106" s="51">
        <f t="shared" si="150"/>
        <v>0.64166666666666683</v>
      </c>
      <c r="K106" s="51">
        <f t="shared" si="150"/>
        <v>0.6658333333333335</v>
      </c>
      <c r="L106" s="51">
        <f t="shared" si="150"/>
        <v>0.69000000000000017</v>
      </c>
      <c r="M106" s="51">
        <f t="shared" si="150"/>
        <v>0.71083333333333354</v>
      </c>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row>
    <row r="107" spans="1:50" x14ac:dyDescent="0.3">
      <c r="D107" s="3"/>
      <c r="E107" s="25"/>
      <c r="F107" s="25"/>
      <c r="G107" s="25"/>
      <c r="H107" s="25"/>
      <c r="I107" s="25"/>
      <c r="J107" s="25"/>
      <c r="K107" s="25"/>
      <c r="L107" s="25"/>
      <c r="M107" s="25"/>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row>
    <row r="108" spans="1:50" x14ac:dyDescent="0.3">
      <c r="A108" s="2" t="s">
        <v>132</v>
      </c>
      <c r="D108" s="3"/>
      <c r="E108" s="12"/>
      <c r="F108" s="12"/>
      <c r="G108" s="12"/>
      <c r="H108" s="12"/>
      <c r="I108" s="12"/>
      <c r="J108" s="12"/>
      <c r="K108" s="12"/>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row>
    <row r="109" spans="1:50" x14ac:dyDescent="0.3">
      <c r="A109" s="1" t="s">
        <v>111</v>
      </c>
      <c r="D109" s="3">
        <v>0</v>
      </c>
      <c r="E109" s="3">
        <v>0</v>
      </c>
      <c r="F109" s="3">
        <v>0</v>
      </c>
      <c r="G109" s="3">
        <v>0</v>
      </c>
      <c r="H109" s="3">
        <v>0</v>
      </c>
      <c r="I109" s="3">
        <v>0</v>
      </c>
      <c r="J109" s="3">
        <v>0</v>
      </c>
      <c r="K109" s="3">
        <v>0</v>
      </c>
      <c r="L109" s="3">
        <v>0</v>
      </c>
      <c r="M109" s="3">
        <v>0</v>
      </c>
      <c r="N109" s="3">
        <v>1</v>
      </c>
      <c r="O109" s="3">
        <v>1</v>
      </c>
      <c r="P109" s="3">
        <f>O109</f>
        <v>1</v>
      </c>
      <c r="Q109" s="3">
        <f t="shared" ref="Q109:V109" si="151">P109</f>
        <v>1</v>
      </c>
      <c r="R109" s="3">
        <f t="shared" si="151"/>
        <v>1</v>
      </c>
      <c r="S109" s="3">
        <f t="shared" si="151"/>
        <v>1</v>
      </c>
      <c r="T109" s="3">
        <f t="shared" si="151"/>
        <v>1</v>
      </c>
      <c r="U109" s="3">
        <f t="shared" si="151"/>
        <v>1</v>
      </c>
      <c r="V109" s="3">
        <f t="shared" si="151"/>
        <v>1</v>
      </c>
      <c r="W109" s="3">
        <f t="shared" ref="W109" si="152">V109</f>
        <v>1</v>
      </c>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row>
    <row r="110" spans="1:50" x14ac:dyDescent="0.3">
      <c r="A110" s="1" t="s">
        <v>53</v>
      </c>
      <c r="D110" s="9">
        <v>0.25</v>
      </c>
      <c r="E110" s="20">
        <v>0.25</v>
      </c>
      <c r="F110" s="20">
        <v>0.25</v>
      </c>
      <c r="G110" s="20">
        <v>0.25</v>
      </c>
      <c r="H110" s="20">
        <v>0.25</v>
      </c>
      <c r="I110" s="20">
        <v>0.25</v>
      </c>
      <c r="J110" s="20">
        <v>0.1</v>
      </c>
      <c r="K110" s="20">
        <v>0.25</v>
      </c>
      <c r="L110" s="20">
        <v>0.25</v>
      </c>
      <c r="M110" s="20">
        <v>0.25</v>
      </c>
      <c r="N110" s="66">
        <v>0.1</v>
      </c>
      <c r="O110" s="66">
        <v>0.25</v>
      </c>
      <c r="P110" s="20">
        <v>0.25</v>
      </c>
      <c r="Q110" s="20">
        <v>0.25</v>
      </c>
      <c r="R110" s="20">
        <v>0.25</v>
      </c>
      <c r="S110" s="45">
        <f t="shared" ref="S110:V110" si="153">R110+5%</f>
        <v>0.3</v>
      </c>
      <c r="T110" s="45">
        <f t="shared" si="153"/>
        <v>0.35</v>
      </c>
      <c r="U110" s="45">
        <f t="shared" si="153"/>
        <v>0.39999999999999997</v>
      </c>
      <c r="V110" s="45">
        <f t="shared" si="153"/>
        <v>0.44999999999999996</v>
      </c>
      <c r="W110" s="45">
        <f t="shared" ref="W110" si="154">V110+5%</f>
        <v>0.49999999999999994</v>
      </c>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row>
    <row r="111" spans="1:50" x14ac:dyDescent="0.3">
      <c r="A111" s="1" t="s">
        <v>54</v>
      </c>
      <c r="D111" s="3">
        <v>2000</v>
      </c>
      <c r="E111" s="13">
        <f t="shared" ref="E111:W111" si="155">50000/4</f>
        <v>12500</v>
      </c>
      <c r="F111" s="13">
        <f t="shared" si="155"/>
        <v>12500</v>
      </c>
      <c r="G111" s="13">
        <f t="shared" si="155"/>
        <v>12500</v>
      </c>
      <c r="H111" s="13">
        <f t="shared" si="155"/>
        <v>12500</v>
      </c>
      <c r="I111" s="13">
        <f t="shared" si="155"/>
        <v>12500</v>
      </c>
      <c r="J111" s="13">
        <f t="shared" si="155"/>
        <v>12500</v>
      </c>
      <c r="K111" s="13">
        <f t="shared" si="155"/>
        <v>12500</v>
      </c>
      <c r="L111" s="13">
        <f t="shared" si="155"/>
        <v>12500</v>
      </c>
      <c r="M111" s="13">
        <f t="shared" si="155"/>
        <v>12500</v>
      </c>
      <c r="N111" s="13">
        <f t="shared" si="155"/>
        <v>12500</v>
      </c>
      <c r="O111" s="13">
        <f t="shared" si="155"/>
        <v>12500</v>
      </c>
      <c r="P111" s="13">
        <f t="shared" si="155"/>
        <v>12500</v>
      </c>
      <c r="Q111" s="13">
        <f t="shared" si="155"/>
        <v>12500</v>
      </c>
      <c r="R111" s="13">
        <f t="shared" si="155"/>
        <v>12500</v>
      </c>
      <c r="S111" s="13">
        <f t="shared" si="155"/>
        <v>12500</v>
      </c>
      <c r="T111" s="13">
        <f t="shared" si="155"/>
        <v>12500</v>
      </c>
      <c r="U111" s="13">
        <f t="shared" si="155"/>
        <v>12500</v>
      </c>
      <c r="V111" s="13">
        <f t="shared" si="155"/>
        <v>12500</v>
      </c>
      <c r="W111" s="13">
        <f t="shared" si="155"/>
        <v>12500</v>
      </c>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row>
    <row r="112" spans="1:50" x14ac:dyDescent="0.3">
      <c r="A112" s="1" t="s">
        <v>55</v>
      </c>
      <c r="D112" s="3">
        <f>D15*D109*D110*D111/1000000000</f>
        <v>0</v>
      </c>
      <c r="E112" s="3">
        <f>E15*E109*E110*E111/1000000000</f>
        <v>0</v>
      </c>
      <c r="F112" s="3">
        <f>F15*F109*F110*F111/1000000000</f>
        <v>0</v>
      </c>
      <c r="G112" s="3">
        <f>G15*G109*G110*G111/1000000000</f>
        <v>0</v>
      </c>
      <c r="H112" s="3">
        <f>H15*H109*H110*H111/1000000000</f>
        <v>0</v>
      </c>
      <c r="I112" s="3">
        <f>I15*I109*I110*I111/1000000000</f>
        <v>0</v>
      </c>
      <c r="J112" s="3">
        <f>J15*J109*J110*J111/1000000000</f>
        <v>0</v>
      </c>
      <c r="K112" s="3">
        <f>K15*K109*K110*K111/1000000000</f>
        <v>0</v>
      </c>
      <c r="L112" s="3">
        <f>L15*L109*L110*L111/1000000000</f>
        <v>0</v>
      </c>
      <c r="M112" s="3">
        <f>M15*M109*M110*M111/1000000000</f>
        <v>0</v>
      </c>
      <c r="N112" s="3">
        <f>N15*N109*N110*N111/1000000000</f>
        <v>2.9411432500000005</v>
      </c>
      <c r="O112" s="3">
        <f>O15*O109*O110*O111/1000000000</f>
        <v>8.2957675000000002</v>
      </c>
      <c r="P112" s="3">
        <f>P15*P109*P110*P111/1000000000</f>
        <v>9.3520598125000003</v>
      </c>
      <c r="Q112" s="3">
        <f>Q15*Q109*Q110*Q111/1000000000</f>
        <v>10.485955656250002</v>
      </c>
      <c r="R112" s="3">
        <f>R15*R109*R110*R111/1000000000</f>
        <v>11.727107096875002</v>
      </c>
      <c r="S112" s="3">
        <f>S15*S109*S110*S111/1000000000</f>
        <v>15.606448417875002</v>
      </c>
      <c r="T112" s="3">
        <f>T15*T109*T110*T111/1000000000</f>
        <v>19.267438654187508</v>
      </c>
      <c r="U112" s="3">
        <f>U15*U109*U110*U111/1000000000</f>
        <v>23.229827890500005</v>
      </c>
      <c r="V112" s="3">
        <f>V15*V109*V110*V111/1000000000</f>
        <v>27.511681376812508</v>
      </c>
      <c r="W112" s="3">
        <f>W15*W109*W110*W111/1000000000</f>
        <v>32.043534863125004</v>
      </c>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row>
    <row r="113" spans="1:50" x14ac:dyDescent="0.3">
      <c r="A113" s="1" t="s">
        <v>56</v>
      </c>
      <c r="D113" s="7">
        <v>0.3</v>
      </c>
      <c r="E113" s="23">
        <f>D113</f>
        <v>0.3</v>
      </c>
      <c r="F113" s="23">
        <f t="shared" ref="F113:W113" si="156">E113</f>
        <v>0.3</v>
      </c>
      <c r="G113" s="23">
        <f t="shared" si="156"/>
        <v>0.3</v>
      </c>
      <c r="H113" s="23">
        <f t="shared" si="156"/>
        <v>0.3</v>
      </c>
      <c r="I113" s="23">
        <f t="shared" si="156"/>
        <v>0.3</v>
      </c>
      <c r="J113" s="23">
        <f t="shared" ref="J113" si="157">I113</f>
        <v>0.3</v>
      </c>
      <c r="K113" s="23">
        <f t="shared" ref="K113" si="158">J113</f>
        <v>0.3</v>
      </c>
      <c r="L113" s="23">
        <f t="shared" ref="L113" si="159">K113</f>
        <v>0.3</v>
      </c>
      <c r="M113" s="23">
        <f t="shared" ref="M113" si="160">L113</f>
        <v>0.3</v>
      </c>
      <c r="N113" s="23">
        <f t="shared" ref="N113" si="161">M113</f>
        <v>0.3</v>
      </c>
      <c r="O113" s="23">
        <f t="shared" ref="O113" si="162">N113</f>
        <v>0.3</v>
      </c>
      <c r="P113" s="23">
        <f t="shared" ref="P113" si="163">O113</f>
        <v>0.3</v>
      </c>
      <c r="Q113" s="23">
        <f t="shared" ref="Q113" si="164">P113</f>
        <v>0.3</v>
      </c>
      <c r="R113" s="23">
        <f t="shared" ref="R113" si="165">Q113</f>
        <v>0.3</v>
      </c>
      <c r="S113" s="23">
        <f t="shared" ref="S113" si="166">R113</f>
        <v>0.3</v>
      </c>
      <c r="T113" s="23">
        <f t="shared" ref="T113" si="167">S113</f>
        <v>0.3</v>
      </c>
      <c r="U113" s="23">
        <f t="shared" ref="U113" si="168">T113</f>
        <v>0.3</v>
      </c>
      <c r="V113" s="23">
        <f t="shared" ref="V113" si="169">U113</f>
        <v>0.3</v>
      </c>
      <c r="W113" s="23">
        <f t="shared" si="156"/>
        <v>0.3</v>
      </c>
      <c r="X113" s="3" t="s">
        <v>131</v>
      </c>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row>
    <row r="114" spans="1:50" s="2" customFormat="1" x14ac:dyDescent="0.3">
      <c r="A114" s="2" t="s">
        <v>57</v>
      </c>
      <c r="D114" s="12">
        <f>D112*D113</f>
        <v>0</v>
      </c>
      <c r="E114" s="12">
        <f t="shared" ref="E114:W114" si="170">E112*E113</f>
        <v>0</v>
      </c>
      <c r="F114" s="12">
        <f t="shared" si="170"/>
        <v>0</v>
      </c>
      <c r="G114" s="12">
        <f t="shared" si="170"/>
        <v>0</v>
      </c>
      <c r="H114" s="12">
        <f t="shared" si="170"/>
        <v>0</v>
      </c>
      <c r="I114" s="12">
        <f t="shared" si="170"/>
        <v>0</v>
      </c>
      <c r="J114" s="12">
        <f t="shared" si="170"/>
        <v>0</v>
      </c>
      <c r="K114" s="12">
        <f t="shared" si="170"/>
        <v>0</v>
      </c>
      <c r="L114" s="12">
        <f t="shared" si="170"/>
        <v>0</v>
      </c>
      <c r="M114" s="12">
        <f t="shared" si="170"/>
        <v>0</v>
      </c>
      <c r="N114" s="12">
        <f t="shared" si="170"/>
        <v>0.88234297500000014</v>
      </c>
      <c r="O114" s="12">
        <f t="shared" si="170"/>
        <v>2.4887302500000001</v>
      </c>
      <c r="P114" s="12">
        <f t="shared" si="170"/>
        <v>2.8056179437500002</v>
      </c>
      <c r="Q114" s="12">
        <f t="shared" si="170"/>
        <v>3.1457866968750006</v>
      </c>
      <c r="R114" s="12">
        <f t="shared" si="170"/>
        <v>3.5181321290625007</v>
      </c>
      <c r="S114" s="12">
        <f t="shared" si="170"/>
        <v>4.6819345253625002</v>
      </c>
      <c r="T114" s="12">
        <f t="shared" si="170"/>
        <v>5.780231596256252</v>
      </c>
      <c r="U114" s="12">
        <f t="shared" si="170"/>
        <v>6.9689483671500012</v>
      </c>
      <c r="V114" s="12">
        <f t="shared" si="170"/>
        <v>8.2535044130437516</v>
      </c>
      <c r="W114" s="12">
        <f t="shared" si="170"/>
        <v>9.6130604589375004</v>
      </c>
      <c r="X114" s="64">
        <f>W114*4*25</f>
        <v>961.30604589375002</v>
      </c>
      <c r="Y114" s="12"/>
      <c r="Z114" s="12"/>
      <c r="AA114" s="12"/>
      <c r="AB114" s="12"/>
      <c r="AC114" s="12"/>
      <c r="AD114" s="12"/>
      <c r="AE114" s="12"/>
      <c r="AF114" s="12"/>
      <c r="AG114" s="12"/>
      <c r="AH114" s="12"/>
      <c r="AI114" s="12">
        <v>2029</v>
      </c>
      <c r="AJ114" s="12"/>
      <c r="AK114" s="12"/>
      <c r="AL114" s="12"/>
      <c r="AM114" s="12"/>
      <c r="AN114" s="12"/>
      <c r="AO114" s="12"/>
      <c r="AP114" s="12"/>
      <c r="AQ114" s="12"/>
      <c r="AR114" s="12"/>
      <c r="AS114" s="12"/>
      <c r="AT114" s="12"/>
      <c r="AU114" s="12"/>
      <c r="AV114" s="12"/>
      <c r="AW114" s="12"/>
      <c r="AX114" s="12"/>
    </row>
    <row r="115" spans="1:50" x14ac:dyDescent="0.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12"/>
      <c r="AG115" s="3"/>
      <c r="AH115" s="3"/>
      <c r="AI115" s="12"/>
      <c r="AJ115" s="3"/>
      <c r="AK115" s="3"/>
      <c r="AL115" s="3"/>
      <c r="AM115" s="3"/>
      <c r="AN115" s="3"/>
      <c r="AO115" s="3"/>
      <c r="AP115" s="3"/>
      <c r="AQ115" s="3"/>
      <c r="AR115" s="3"/>
      <c r="AS115" s="3"/>
      <c r="AT115" s="3"/>
      <c r="AU115" s="3"/>
      <c r="AV115" s="3"/>
      <c r="AW115" s="3"/>
      <c r="AX115" s="3"/>
    </row>
    <row r="116" spans="1:50" ht="17.25" thickBot="1" x14ac:dyDescent="0.35">
      <c r="A116" s="1" t="s">
        <v>130</v>
      </c>
      <c r="F116" s="3">
        <f>NPV(10%/4,H114:X114)</f>
        <v>666.71668019446759</v>
      </c>
      <c r="G116" s="28"/>
      <c r="H116" s="28"/>
      <c r="R116" s="10"/>
      <c r="S116" s="3"/>
      <c r="V116" s="10"/>
    </row>
    <row r="117" spans="1:50" ht="17.25" thickBot="1" x14ac:dyDescent="0.35">
      <c r="A117" s="61" t="s">
        <v>99</v>
      </c>
      <c r="B117" s="62"/>
      <c r="C117" s="62"/>
      <c r="D117" s="62"/>
      <c r="E117" s="62"/>
      <c r="F117" s="63">
        <f>F116/K65*1000</f>
        <v>3325.2702254088163</v>
      </c>
      <c r="R117" s="14"/>
      <c r="S117" s="10"/>
    </row>
    <row r="119" spans="1:50" x14ac:dyDescent="0.3">
      <c r="H119" s="29"/>
      <c r="I119" s="29"/>
      <c r="J119" s="29"/>
      <c r="K119" s="29"/>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Consumers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 Smith</dc:creator>
  <cp:lastModifiedBy>Matthew C. Smith</cp:lastModifiedBy>
  <dcterms:created xsi:type="dcterms:W3CDTF">2019-05-02T19:28:26Z</dcterms:created>
  <dcterms:modified xsi:type="dcterms:W3CDTF">2019-12-12T22:20:45Z</dcterms:modified>
</cp:coreProperties>
</file>