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of courses" sheetId="1" r:id="rId4"/>
  </sheets>
  <definedNames/>
  <calcPr/>
</workbook>
</file>

<file path=xl/sharedStrings.xml><?xml version="1.0" encoding="utf-8"?>
<sst xmlns="http://schemas.openxmlformats.org/spreadsheetml/2006/main" count="5220" uniqueCount="2059">
  <si>
    <t>Sl. No.</t>
  </si>
  <si>
    <t>No Use</t>
  </si>
  <si>
    <t>Course Code</t>
  </si>
  <si>
    <t>Course Name</t>
  </si>
  <si>
    <t>Status in course booklet</t>
  </si>
  <si>
    <t>L-T-P-C</t>
  </si>
  <si>
    <t>Slot</t>
  </si>
  <si>
    <t>Credit</t>
  </si>
  <si>
    <t>AR-501 (4)</t>
  </si>
  <si>
    <t>Robot Kinematics, Dynamics, and Control</t>
  </si>
  <si>
    <t>Yes</t>
  </si>
  <si>
    <t>3-1-0-4</t>
  </si>
  <si>
    <t>A</t>
  </si>
  <si>
    <t>AR-502 (4)</t>
  </si>
  <si>
    <t>Advanced Design Practicum </t>
  </si>
  <si>
    <t>3-0-2-4</t>
  </si>
  <si>
    <t>B</t>
  </si>
  <si>
    <t>AR-503 (3)</t>
  </si>
  <si>
    <t>Mechatronics</t>
  </si>
  <si>
    <t>3-0-0-3</t>
  </si>
  <si>
    <t>C</t>
  </si>
  <si>
    <t>AR-504  (3)</t>
  </si>
  <si>
    <t>Robot Programming, Modeling, and Simulation</t>
  </si>
  <si>
    <t>2-0-2-3</t>
  </si>
  <si>
    <t>D</t>
  </si>
  <si>
    <t>AR-505 (3)</t>
  </si>
  <si>
    <t>Principles of Robot Autonomy</t>
  </si>
  <si>
    <t>E</t>
  </si>
  <si>
    <t>AR-506 (3)</t>
  </si>
  <si>
    <t>Cognitive Robotics</t>
  </si>
  <si>
    <t>F</t>
  </si>
  <si>
    <t>AR-507 (3)</t>
  </si>
  <si>
    <t>Probabilistic Robotics</t>
  </si>
  <si>
    <t>G</t>
  </si>
  <si>
    <t>AR-508 (3)</t>
  </si>
  <si>
    <t>Marine Robotics</t>
  </si>
  <si>
    <t>H</t>
  </si>
  <si>
    <t>AR-509(4)</t>
  </si>
  <si>
    <t>Deep Learning for Robotics</t>
  </si>
  <si>
    <t>FS</t>
  </si>
  <si>
    <t>AR-510 (3)</t>
  </si>
  <si>
    <t>Underactuated Robotics</t>
  </si>
  <si>
    <t>AR-511 (3)</t>
  </si>
  <si>
    <t>Autonomous Mobile Robots</t>
  </si>
  <si>
    <t>AR-512(4)</t>
  </si>
  <si>
    <t>Rapid Prototyping and Tooling</t>
  </si>
  <si>
    <t>AR-513 (3)</t>
  </si>
  <si>
    <t>Unmanned Aerial Systems</t>
  </si>
  <si>
    <t>AR-514 (3)</t>
  </si>
  <si>
    <t>Vision and Learning Based Control</t>
  </si>
  <si>
    <t>AR-515 (3)</t>
  </si>
  <si>
    <t>Sensors and State Estimation</t>
  </si>
  <si>
    <t>AR-516(3)</t>
  </si>
  <si>
    <t>Introduction to Blockchain and Web3</t>
  </si>
  <si>
    <t>AR- 517(3)</t>
  </si>
  <si>
    <t xml:space="preserve">Introduction to Cyber security </t>
  </si>
  <si>
    <t>AR-518(3)</t>
  </si>
  <si>
    <t>Advanced Blockchain and web3</t>
  </si>
  <si>
    <t>BT-101 (2)</t>
  </si>
  <si>
    <t>Fundamentals of Biotechnology</t>
  </si>
  <si>
    <t>2-0-0-2</t>
  </si>
  <si>
    <t>BE 201(4)</t>
  </si>
  <si>
    <t xml:space="preserve">Cell Biology </t>
  </si>
  <si>
    <t>BE-202 (4)</t>
  </si>
  <si>
    <t>Biochemistry and Molecular Biology</t>
  </si>
  <si>
    <t>BE-203(4)</t>
  </si>
  <si>
    <t>Enzymology and Bioprocessing</t>
  </si>
  <si>
    <t>BE 301(4)</t>
  </si>
  <si>
    <t>Biomechanics</t>
  </si>
  <si>
    <t>BE 302(4)</t>
  </si>
  <si>
    <t>Bioelectric Systems Modeling</t>
  </si>
  <si>
    <t>BE 303(4)</t>
  </si>
  <si>
    <t>Applied Biostatistics</t>
  </si>
  <si>
    <t>BE-304(4)</t>
  </si>
  <si>
    <t>Bioinformatics</t>
  </si>
  <si>
    <t>BE 305(1)</t>
  </si>
  <si>
    <t>Bioethics and Regulatory Affairs</t>
  </si>
  <si>
    <t>1-0-0-1</t>
  </si>
  <si>
    <t>BE-306(4)</t>
  </si>
  <si>
    <t>Genetic Engineering: Principles and Applications</t>
  </si>
  <si>
    <t>BE-307P(1)</t>
  </si>
  <si>
    <t>Reverse Engineering for Bioengineers</t>
  </si>
  <si>
    <t>0-0-2-1</t>
  </si>
  <si>
    <t>BE-308(4)</t>
  </si>
  <si>
    <t>Introduction to Biomanufacturing</t>
  </si>
  <si>
    <t>BE-309(4)</t>
  </si>
  <si>
    <t>Biosensing and Bioinstrumentation</t>
  </si>
  <si>
    <t>No</t>
  </si>
  <si>
    <t>BE 310(4)</t>
  </si>
  <si>
    <t>Biomaterials</t>
  </si>
  <si>
    <t>BE-401(4)</t>
  </si>
  <si>
    <t>Bioengineering Mini Project, Term Paper and Seminar</t>
  </si>
  <si>
    <t>0-0-8-4</t>
  </si>
  <si>
    <t>BE 501(3)</t>
  </si>
  <si>
    <t>Anatomy and Physiology</t>
  </si>
  <si>
    <t>BE 502(3)</t>
  </si>
  <si>
    <t>Design and Analysis of Bioalgorithms</t>
  </si>
  <si>
    <t>BE 503(4)</t>
  </si>
  <si>
    <t>BE 504(4)</t>
  </si>
  <si>
    <t>BE 505(3)</t>
  </si>
  <si>
    <t xml:space="preserve">Computational Biology   </t>
  </si>
  <si>
    <t>BE 506(3)</t>
  </si>
  <si>
    <t>Biological Modelling and Simulation</t>
  </si>
  <si>
    <t>BE-507(3)</t>
  </si>
  <si>
    <t>Tissue Engineering</t>
  </si>
  <si>
    <t>BE-609P(17)</t>
  </si>
  <si>
    <t>M.Tech Project I</t>
  </si>
  <si>
    <t>0-0-34-17</t>
  </si>
  <si>
    <t>BE-610P(17)</t>
  </si>
  <si>
    <t>M.Tech Project II</t>
  </si>
  <si>
    <t>BY-501(3)</t>
  </si>
  <si>
    <t>DNA Nanotechnology</t>
  </si>
  <si>
    <t>BY-502(3)</t>
  </si>
  <si>
    <t>Biophysics and Protein Engineering</t>
  </si>
  <si>
    <t>BY-503(3)</t>
  </si>
  <si>
    <t>Cellular Fuel and Cellular Communication</t>
  </si>
  <si>
    <t>BY-504(3)</t>
  </si>
  <si>
    <t>Metabolic Systems Biology</t>
  </si>
  <si>
    <t>BY-505(3)</t>
  </si>
  <si>
    <t>Nanobiotechnology</t>
  </si>
  <si>
    <t>BY-506(3)</t>
  </si>
  <si>
    <t>Advanced Immunology</t>
  </si>
  <si>
    <t>BY-507(4)</t>
  </si>
  <si>
    <t>Genetic Engineering</t>
  </si>
  <si>
    <t>BY-508(3)</t>
  </si>
  <si>
    <t>Practical Metabolomics</t>
  </si>
  <si>
    <t>1-0-2-3</t>
  </si>
  <si>
    <t>BY 509 (3)</t>
  </si>
  <si>
    <t>Practical OMICs</t>
  </si>
  <si>
    <t>0.5-0.5-2-3</t>
  </si>
  <si>
    <t>BY-510(3)</t>
  </si>
  <si>
    <t>Advanced Cell Biology</t>
  </si>
  <si>
    <t>BY-511(3)</t>
  </si>
  <si>
    <t>Cell Physiology in health and disease</t>
  </si>
  <si>
    <t>BY-512(3)</t>
  </si>
  <si>
    <t>Quantitative and Computational Biology</t>
  </si>
  <si>
    <t>BY-513(3)</t>
  </si>
  <si>
    <t>Cellular Bioprocess Technology</t>
  </si>
  <si>
    <t>BY-514(3)</t>
  </si>
  <si>
    <t>Analytical Biotechniques</t>
  </si>
  <si>
    <t>BY-515(3)</t>
  </si>
  <si>
    <t>Molecular Biotechnology</t>
  </si>
  <si>
    <t>BY-516(3)</t>
  </si>
  <si>
    <t>Introduction to “OMICS” and systems Analysis</t>
  </si>
  <si>
    <t>BY-517(3)</t>
  </si>
  <si>
    <t>Proteomics</t>
  </si>
  <si>
    <t>BY 517(3)</t>
  </si>
  <si>
    <t>Introduction to Proteomics</t>
  </si>
  <si>
    <t>BY-518(3)</t>
  </si>
  <si>
    <t>Disease Biology</t>
  </si>
  <si>
    <t>BY-519(3)</t>
  </si>
  <si>
    <t>Protein Science in therapeutics</t>
  </si>
  <si>
    <t>BY-520P(1)</t>
  </si>
  <si>
    <t>Cell Biology and Physiology Lab</t>
  </si>
  <si>
    <t>BY-521P(1)</t>
  </si>
  <si>
    <t>Computational Biology and Cellular Bioprocess Technology Lab</t>
  </si>
  <si>
    <t>BY-522P(1)</t>
  </si>
  <si>
    <t>Analytical and Molecular Biotechnology Lab</t>
  </si>
  <si>
    <t>BY-523P(1)</t>
  </si>
  <si>
    <t>Systems Biology Lab</t>
  </si>
  <si>
    <t>BY-524P(1)</t>
  </si>
  <si>
    <t>Medical and Nanobiotechnology Lab</t>
  </si>
  <si>
    <t>BY-525(1)</t>
  </si>
  <si>
    <t>Seminar</t>
  </si>
  <si>
    <t>0-0-0-1</t>
  </si>
  <si>
    <t>BY-526(1)</t>
  </si>
  <si>
    <t>IPR and Biosafety</t>
  </si>
  <si>
    <t>0-0-0-0</t>
  </si>
  <si>
    <t>BY-527(3)</t>
  </si>
  <si>
    <t>Gene silencing and genome editing: principles and applications</t>
  </si>
  <si>
    <t>BY-528 (3)</t>
  </si>
  <si>
    <t>Sensory Biology</t>
  </si>
  <si>
    <t>BY-529 (3)</t>
  </si>
  <si>
    <t>Mechanobiology of the Cell (MBoC)</t>
  </si>
  <si>
    <t>BY-530 (3)</t>
  </si>
  <si>
    <t>Advanced Cell and Molecular Biology</t>
  </si>
  <si>
    <t>BY-531 (3)</t>
  </si>
  <si>
    <t>Quantitative Biology and Data Analytics</t>
  </si>
  <si>
    <t>BY-532(3)</t>
  </si>
  <si>
    <t>Immunotechnology</t>
  </si>
  <si>
    <t>BY-533P (1)</t>
  </si>
  <si>
    <t>Advanced Cell and Molecular Biology Lab</t>
  </si>
  <si>
    <t>BY-534P (1)</t>
  </si>
  <si>
    <t>Cellular Bioprocess Technology Lab</t>
  </si>
  <si>
    <t>BY-535P (1)</t>
  </si>
  <si>
    <t>Analytical Biotechniques Lab</t>
  </si>
  <si>
    <t>BY-536P (1)</t>
  </si>
  <si>
    <t>Immunotechnology Lab</t>
  </si>
  <si>
    <t>BY-537 (4)</t>
  </si>
  <si>
    <t>Computational Biology-1</t>
  </si>
  <si>
    <t>BY-598(16)</t>
  </si>
  <si>
    <t>0-0-32-16</t>
  </si>
  <si>
    <t>BY-599(17)</t>
  </si>
  <si>
    <t>BY-600  (1)</t>
  </si>
  <si>
    <t>Research Methodology</t>
  </si>
  <si>
    <t>BY-606(3)</t>
  </si>
  <si>
    <t>Bioinformatics Applications for Systems Analysis</t>
  </si>
  <si>
    <t>BY-606 &amp; BY 606P</t>
  </si>
  <si>
    <t>BY-613(3)</t>
  </si>
  <si>
    <t>Metagenomics and Next Generation Sequencing Technologies</t>
  </si>
  <si>
    <t>BY-698P(16)</t>
  </si>
  <si>
    <t>Post Graduate Project – I (BioTech)</t>
  </si>
  <si>
    <t>BY-699P(17)</t>
  </si>
  <si>
    <t>Post Graduate Project – II (BioTEch)</t>
  </si>
  <si>
    <t>CE-201(3)</t>
  </si>
  <si>
    <t>Surveying:Traditional and Digital</t>
  </si>
  <si>
    <t>CE-202(1)</t>
  </si>
  <si>
    <t>Introduction to Civil Engineering</t>
  </si>
  <si>
    <t>CE-203(3)</t>
  </si>
  <si>
    <t>Civil Engineering Materials</t>
  </si>
  <si>
    <t>CE-203P(1)</t>
  </si>
  <si>
    <t>Building Materials Lab</t>
  </si>
  <si>
    <t>CE-251(3)</t>
  </si>
  <si>
    <t>Hydraulics Engineering</t>
  </si>
  <si>
    <t>CE-252(3)</t>
  </si>
  <si>
    <t>Geology and Geomorphology</t>
  </si>
  <si>
    <t>CE-301(4)</t>
  </si>
  <si>
    <t>Strength of Materials and Structures</t>
  </si>
  <si>
    <t>CE-302(4)</t>
  </si>
  <si>
    <t>Geotechnical Engineering</t>
  </si>
  <si>
    <t>CE-303(3)</t>
  </si>
  <si>
    <t>Water Resources Engineering</t>
  </si>
  <si>
    <t>CE-304P(1)</t>
  </si>
  <si>
    <t>Hydraulics Engineering Lab</t>
  </si>
  <si>
    <t>CE-305P(1)</t>
  </si>
  <si>
    <t>Environment and Earth Science Lab</t>
  </si>
  <si>
    <t>CE-306P(1)</t>
  </si>
  <si>
    <t>Environmental Engineering Lab</t>
  </si>
  <si>
    <t>CE-310(3)</t>
  </si>
  <si>
    <t>CE-310P(1)</t>
  </si>
  <si>
    <t>Strength of Materials and Structures Laboratory</t>
  </si>
  <si>
    <t>CE-311(3)</t>
  </si>
  <si>
    <t>Geotechnical Engineering I</t>
  </si>
  <si>
    <t>CE-311P(1)</t>
  </si>
  <si>
    <t>Geotechnical Engineering Laboratory</t>
  </si>
  <si>
    <t>CE-351(3)</t>
  </si>
  <si>
    <t>Design of Reinforced Concrete Structures</t>
  </si>
  <si>
    <t>2-1-0-3</t>
  </si>
  <si>
    <t>CE-352(3)</t>
  </si>
  <si>
    <t>Transportation Engineering</t>
  </si>
  <si>
    <t>CE 352P(1)</t>
  </si>
  <si>
    <t>Transportation Engineering Laboratory</t>
  </si>
  <si>
    <t>CE-353P(1)</t>
  </si>
  <si>
    <t>Civil Engineering Drawing</t>
  </si>
  <si>
    <t>CE-354P(1)</t>
  </si>
  <si>
    <t>Building and Pavement Materials Laboratory</t>
  </si>
  <si>
    <t>CE-355(3)</t>
  </si>
  <si>
    <t>Hydrology</t>
  </si>
  <si>
    <t>CE-356 (1)</t>
  </si>
  <si>
    <t>Reverse Engineering</t>
  </si>
  <si>
    <t>CE-401(3)</t>
  </si>
  <si>
    <t>Design of Steel Structures</t>
  </si>
  <si>
    <t>CE 402(3)</t>
  </si>
  <si>
    <t>Geotechnical Engineering II</t>
  </si>
  <si>
    <t>CE-403 (3)</t>
  </si>
  <si>
    <t>Wastewater Engineering</t>
  </si>
  <si>
    <t>CE-404(3)</t>
  </si>
  <si>
    <t>Analysis of Structures</t>
  </si>
  <si>
    <t>CE-405(3)</t>
  </si>
  <si>
    <t>Water and Wastewater Engineering</t>
  </si>
  <si>
    <t>CE-451	 (3)</t>
  </si>
  <si>
    <t>Irrigation Engineering &amp; Hydraulic Structures</t>
  </si>
  <si>
    <t>CE-501(3)</t>
  </si>
  <si>
    <t>Remote Sensing</t>
  </si>
  <si>
    <t>CE-502(3)</t>
  </si>
  <si>
    <t>Groundwater Flow and Contaminant Transport</t>
  </si>
  <si>
    <t>CE-503(3)</t>
  </si>
  <si>
    <t>Fundamentals of Project Management</t>
  </si>
  <si>
    <t>CE-504(3)</t>
  </si>
  <si>
    <t>Slope Stability and Retaining Structures</t>
  </si>
  <si>
    <t>CE-505(3)</t>
  </si>
  <si>
    <t>Engineering of Ground Modification</t>
  </si>
  <si>
    <t>CE-506(3)</t>
  </si>
  <si>
    <t>Analysis of Indeterminate Structures</t>
  </si>
  <si>
    <t>CE-507(3)</t>
  </si>
  <si>
    <t>Advanced Concrete Science</t>
  </si>
  <si>
    <t>CE-508(3)</t>
  </si>
  <si>
    <t>Photogeology and Photogrammetry</t>
  </si>
  <si>
    <t>CE 509(3)</t>
  </si>
  <si>
    <t>Bridge Engineering</t>
  </si>
  <si>
    <t>CE 510(3)</t>
  </si>
  <si>
    <t>Modelling and Simulation in Water Resources Engineering</t>
  </si>
  <si>
    <t>CE 511(3)</t>
  </si>
  <si>
    <t>Structural Dynamics with Application to Earthquake Engineering</t>
  </si>
  <si>
    <t>CE-512(3)</t>
  </si>
  <si>
    <t>Advanced Soil Mechanics</t>
  </si>
  <si>
    <t>CE-513(3)</t>
  </si>
  <si>
    <t>Advanced Foundation Engineering</t>
  </si>
  <si>
    <t>CE 514(3)</t>
  </si>
  <si>
    <t>Rock Mechanics</t>
  </si>
  <si>
    <t>CE-515 (3)</t>
  </si>
  <si>
    <t>Environmental Impact Assessment</t>
  </si>
  <si>
    <t>CE-516 (3)</t>
  </si>
  <si>
    <t>Uncertainty Analysis in Civil Engineering</t>
  </si>
  <si>
    <t>CE-517 (4)</t>
  </si>
  <si>
    <t>Hydroinformatics</t>
  </si>
  <si>
    <t>CE-518 (3)</t>
  </si>
  <si>
    <t>Structural Reliability and Risk Assessment</t>
  </si>
  <si>
    <t>CE-519 (3)</t>
  </si>
  <si>
    <t>Chemistry of Natural Waters</t>
  </si>
  <si>
    <t>CE-520 (3)</t>
  </si>
  <si>
    <t>Environmental Reaction Modeling</t>
  </si>
  <si>
    <t>CE-521(4)</t>
  </si>
  <si>
    <t>Ecology and Environment Microbiology</t>
  </si>
  <si>
    <t>CE-522(3)</t>
  </si>
  <si>
    <t>Matrix Methods for Structural Analysis</t>
  </si>
  <si>
    <t>CE-523 (3)</t>
  </si>
  <si>
    <t>Building Science</t>
  </si>
  <si>
    <t>CE-524(3)</t>
  </si>
  <si>
    <t>Applied Hydroclimatology</t>
  </si>
  <si>
    <t>CE-524P(1)</t>
  </si>
  <si>
    <t>Computational Hydroclimatology Lab</t>
  </si>
  <si>
    <t>CE-525(4)</t>
  </si>
  <si>
    <t>Advanced Transportation Engineering</t>
  </si>
  <si>
    <t>3-0-1-4</t>
  </si>
  <si>
    <t>CE-526(3)</t>
  </si>
  <si>
    <t>Critical Zone Science</t>
  </si>
  <si>
    <t>CE-527(4)</t>
  </si>
  <si>
    <t>Advanced Pavement Engineering</t>
  </si>
  <si>
    <t>CE-528(3)</t>
  </si>
  <si>
    <t>Design of Masonry Structures</t>
  </si>
  <si>
    <t>CE-551(3)</t>
  </si>
  <si>
    <t>Geosynthetics and their applications</t>
  </si>
  <si>
    <t>CE-552(3)</t>
  </si>
  <si>
    <t>Concrete Technology</t>
  </si>
  <si>
    <t>CE 554(3)</t>
  </si>
  <si>
    <t>Prestressed Concrete Structures</t>
  </si>
  <si>
    <t>CE 555(3)</t>
  </si>
  <si>
    <t>Advanced Design of Structures</t>
  </si>
  <si>
    <t>CE 556P(2)</t>
  </si>
  <si>
    <t>Structural Engineering Laboratory</t>
  </si>
  <si>
    <t>0-0-4-2</t>
  </si>
  <si>
    <t>CE 557 (3)</t>
  </si>
  <si>
    <t>Solid Mechanics in Structural Engineering</t>
  </si>
  <si>
    <t>CE 558(3)</t>
  </si>
  <si>
    <t>Air Pollution and Its Mitigation</t>
  </si>
  <si>
    <t>CE 559(3)</t>
  </si>
  <si>
    <t>Biological Wastewater Treatment</t>
  </si>
  <si>
    <t>CE 560(3)</t>
  </si>
  <si>
    <t>Soil Dynamics</t>
  </si>
  <si>
    <t>ye</t>
  </si>
  <si>
    <t>CE-561(3)</t>
  </si>
  <si>
    <t>The Science of Climate Change</t>
  </si>
  <si>
    <t>CE 586P(3)</t>
  </si>
  <si>
    <t>Mini Project</t>
  </si>
  <si>
    <t>0-0-6-3</t>
  </si>
  <si>
    <t>CE 587P(1)</t>
  </si>
  <si>
    <t>Industrial/Research Internship</t>
  </si>
  <si>
    <t>CE-600 (1)</t>
  </si>
  <si>
    <t>Research Methodology for Civil Engineering</t>
  </si>
  <si>
    <t>CE-601(3)</t>
  </si>
  <si>
    <t>Geo-Informatics</t>
  </si>
  <si>
    <t>CE 602(3)</t>
  </si>
  <si>
    <t>Blast Engineering</t>
  </si>
  <si>
    <t>CE-604(3)</t>
  </si>
  <si>
    <t>Theory of Plasticity</t>
  </si>
  <si>
    <t>CE 605(3)</t>
  </si>
  <si>
    <t>Engineering Seismology and Seismic Hazard Assessment</t>
  </si>
  <si>
    <t>CE 606(3)</t>
  </si>
  <si>
    <t>Constitutive Modeling of Frictional Material</t>
  </si>
  <si>
    <t>CE 610(3)</t>
  </si>
  <si>
    <t>Analysis and Design for Earthquake Resistant Structures</t>
  </si>
  <si>
    <t>CE 611(3)</t>
  </si>
  <si>
    <t>Structural Health Monitoring</t>
  </si>
  <si>
    <t>CE 612(3)</t>
  </si>
  <si>
    <t>Theory of Plates and Shells</t>
  </si>
  <si>
    <t>CE-613(3)</t>
  </si>
  <si>
    <t>Mechanics of Unsaturated Soils</t>
  </si>
  <si>
    <t>CE 688P_Old</t>
  </si>
  <si>
    <t>Post Graduate Project – I (SE)</t>
  </si>
  <si>
    <t>0-0-24-12</t>
  </si>
  <si>
    <t>CE 689_Old</t>
  </si>
  <si>
    <t>Post Graduate Project – II  (SE)</t>
  </si>
  <si>
    <t>CE 688P(14)</t>
  </si>
  <si>
    <t>0-0-28-14</t>
  </si>
  <si>
    <t>CE 689P(15)</t>
  </si>
  <si>
    <t>0-0-30-15</t>
  </si>
  <si>
    <t>CS-201(3)</t>
  </si>
  <si>
    <t>Computer Organization</t>
  </si>
  <si>
    <t>CS-201P(1)</t>
  </si>
  <si>
    <t>Computer Organization Laboratory</t>
  </si>
  <si>
    <t>CS-202(4)</t>
  </si>
  <si>
    <t>Data Structure and Algorithms</t>
  </si>
  <si>
    <t>CS-207(2)</t>
  </si>
  <si>
    <t>Applied Databases Practicum</t>
  </si>
  <si>
    <t>0-0-3-2</t>
  </si>
  <si>
    <t>CS-208(4)</t>
  </si>
  <si>
    <t>Mathematical Foundations of Computer Science</t>
  </si>
  <si>
    <t>CS-212 (4)</t>
  </si>
  <si>
    <t>Design and Analysis of Algorithms</t>
  </si>
  <si>
    <t>CS-302(4)</t>
  </si>
  <si>
    <t>Paradigms of Programming</t>
  </si>
  <si>
    <t>CS-303(3)</t>
  </si>
  <si>
    <t>Software Engineering</t>
  </si>
  <si>
    <t>CS-304(3)</t>
  </si>
  <si>
    <t>Formal Languages and Automata Theory</t>
  </si>
  <si>
    <t>CS-305(3)</t>
  </si>
  <si>
    <t>Artificial Intelligence</t>
  </si>
  <si>
    <t>CS-308(2)</t>
  </si>
  <si>
    <t>Large Applications Practicum</t>
  </si>
  <si>
    <t>CS-309(4)</t>
  </si>
  <si>
    <t>Information and Database Systems</t>
  </si>
  <si>
    <t>CS-310(4)</t>
  </si>
  <si>
    <t>Introduction to Communicating Distributed Processes</t>
  </si>
  <si>
    <t>CS-312 (3)</t>
  </si>
  <si>
    <t>Operating System</t>
  </si>
  <si>
    <t>CS-313 (4)</t>
  </si>
  <si>
    <t>Computer Networks</t>
  </si>
  <si>
    <t>CS-347(4)</t>
  </si>
  <si>
    <t>Software Enginering</t>
  </si>
  <si>
    <t>CS-362 (3)</t>
  </si>
  <si>
    <t>CS-402(3)</t>
  </si>
  <si>
    <t xml:space="preserve"> Compiler Technology</t>
  </si>
  <si>
    <t>CS-403(4)</t>
  </si>
  <si>
    <t>Algorithm Design and Analysis</t>
  </si>
  <si>
    <t>CS-406(4)</t>
  </si>
  <si>
    <t>CS 451(3)</t>
  </si>
  <si>
    <t>Computer Graphics and Game Design</t>
  </si>
  <si>
    <t>CS-456(3)</t>
  </si>
  <si>
    <t>Distributed Databases</t>
  </si>
  <si>
    <t>CS 502(4)</t>
  </si>
  <si>
    <t>Compiler Design</t>
  </si>
  <si>
    <t>CS 502P (3)</t>
  </si>
  <si>
    <t>Basic Data Science Practicum</t>
  </si>
  <si>
    <t>1-0-3-3</t>
  </si>
  <si>
    <t>CS-506(3)</t>
  </si>
  <si>
    <t>Cognitive Modeling</t>
  </si>
  <si>
    <t>CS 507(4)</t>
  </si>
  <si>
    <t>Computer Architecture</t>
  </si>
  <si>
    <t>CS-508(3)</t>
  </si>
  <si>
    <t>Introduction to Network Security</t>
  </si>
  <si>
    <t>CS-508(2)</t>
  </si>
  <si>
    <t>Introduction to Heterogeneous Computing</t>
  </si>
  <si>
    <t>CS-510(4)</t>
  </si>
  <si>
    <t>Randomized Algorithms</t>
  </si>
  <si>
    <t>4-0-0-4</t>
  </si>
  <si>
    <t>CS 511(2)</t>
  </si>
  <si>
    <t>Applied Probability</t>
  </si>
  <si>
    <t>CS 512 (2)</t>
  </si>
  <si>
    <t>Matrix Theory</t>
  </si>
  <si>
    <t>CS 513(4)</t>
  </si>
  <si>
    <t>Discrete Mathematics</t>
  </si>
  <si>
    <t>CS 514(4)</t>
  </si>
  <si>
    <t>Data Structures and Algorithms -II</t>
  </si>
  <si>
    <t>CS 515(3)</t>
  </si>
  <si>
    <t>Advanced Computer Science Practicum</t>
  </si>
  <si>
    <t>CS 516P (3)</t>
  </si>
  <si>
    <t>Exploratory Project</t>
  </si>
  <si>
    <t>CS-520(3)</t>
  </si>
  <si>
    <t>Introduction to Quantum Computing</t>
  </si>
  <si>
    <t>2-0-1-3</t>
  </si>
  <si>
    <t>CS-522(3)</t>
  </si>
  <si>
    <t>Distributed Algorithms</t>
  </si>
  <si>
    <t>CS 523(3)</t>
  </si>
  <si>
    <t>Verification of Reactive Systems</t>
  </si>
  <si>
    <t>CS 541P(3)</t>
  </si>
  <si>
    <t>IoT systems and the Cloud</t>
  </si>
  <si>
    <t>CS 542(3)</t>
  </si>
  <si>
    <t>Design patterns for scalable systems</t>
  </si>
  <si>
    <t>CS 544(3)</t>
  </si>
  <si>
    <t>Formal Concept Analysis: Theory and Practice</t>
  </si>
  <si>
    <t>CS-545(3)</t>
  </si>
  <si>
    <t>Software Designing Patterns</t>
  </si>
  <si>
    <t>CS-546(3)</t>
  </si>
  <si>
    <t>Design of Concurrent Software</t>
  </si>
  <si>
    <t>CS-548(3)</t>
  </si>
  <si>
    <t>Cloud Networking</t>
  </si>
  <si>
    <t>CS-549(3)</t>
  </si>
  <si>
    <t>Computer Networks Analysis</t>
  </si>
  <si>
    <t>CS 549(3)</t>
  </si>
  <si>
    <t>Performance Analysis of Computer Networks</t>
  </si>
  <si>
    <t>CS-550(3)</t>
  </si>
  <si>
    <t>Computer Graphics and Geometric Design</t>
  </si>
  <si>
    <t>CS 551(3)</t>
  </si>
  <si>
    <t>Human Computer Interaction</t>
  </si>
  <si>
    <t>CS-560(3)</t>
  </si>
  <si>
    <t>Text Retrieval and Mining</t>
  </si>
  <si>
    <t>CS-561(3)</t>
  </si>
  <si>
    <t>Big Data and map reduce</t>
  </si>
  <si>
    <t>CS 562(3)</t>
  </si>
  <si>
    <t>CS-563(4)</t>
  </si>
  <si>
    <t>Scalable Data Science</t>
  </si>
  <si>
    <t>CS 571(3)</t>
  </si>
  <si>
    <t>Programming Practicum</t>
  </si>
  <si>
    <t>CS-601(4)</t>
  </si>
  <si>
    <t>Probability and Random Processes</t>
  </si>
  <si>
    <t>CS-603(3)</t>
  </si>
  <si>
    <t>Managerial Decision Making</t>
  </si>
  <si>
    <t>CS-606(3)</t>
  </si>
  <si>
    <t>Computational Modeling of Social Systems</t>
  </si>
  <si>
    <t>CS-609(3)</t>
  </si>
  <si>
    <t>Speech Processing</t>
  </si>
  <si>
    <t>3-0-0-4</t>
  </si>
  <si>
    <t>CS-609(4)</t>
  </si>
  <si>
    <t>CS-611(4)</t>
  </si>
  <si>
    <t>Program Analysis</t>
  </si>
  <si>
    <t>CS-621P (12)</t>
  </si>
  <si>
    <t>Post Graduate Project -I</t>
  </si>
  <si>
    <t>CS-622P(14)</t>
  </si>
  <si>
    <t>Post Graduate Project -II</t>
  </si>
  <si>
    <t>CS-630(3)</t>
  </si>
  <si>
    <t>Speech Technology</t>
  </si>
  <si>
    <t>CS-660(4)</t>
  </si>
  <si>
    <t>Data Mining for Decision Making</t>
  </si>
  <si>
    <t>CS 661(3)</t>
  </si>
  <si>
    <t>Knowledge Representation and Reasoning</t>
  </si>
  <si>
    <t>CS-662(3)</t>
  </si>
  <si>
    <t>Mobile Virtual Reality and Artificial Intelligence</t>
  </si>
  <si>
    <t>CS-669(4)</t>
  </si>
  <si>
    <t>Pattern Recognition</t>
  </si>
  <si>
    <t>CS 671(4)</t>
  </si>
  <si>
    <t>Deep Learning and Applications</t>
  </si>
  <si>
    <t>CS-672(4)</t>
  </si>
  <si>
    <t>Advanced Topics in Deep Learning</t>
  </si>
  <si>
    <t>CS-673 (4)</t>
  </si>
  <si>
    <t>Advanced Computer Vision</t>
  </si>
  <si>
    <t>CS-677(3)</t>
  </si>
  <si>
    <t>Soft Computing</t>
  </si>
  <si>
    <t>2-0.5-0.5-3</t>
  </si>
  <si>
    <t>CS-683 (4)</t>
  </si>
  <si>
    <t>Generative AI</t>
  </si>
  <si>
    <t>CS-685 (3)</t>
  </si>
  <si>
    <t>Natural Language Processing</t>
  </si>
  <si>
    <t>CS-686 (4)</t>
  </si>
  <si>
    <t>Large Language Models: Core Concepts to Custom Applications</t>
  </si>
  <si>
    <t>CS-693(3)</t>
  </si>
  <si>
    <t>Compressed Sensing and its Applications</t>
  </si>
  <si>
    <t>CY-241(3)</t>
  </si>
  <si>
    <t>Nanoscale Science and Technology</t>
  </si>
  <si>
    <t>CY-242(3)</t>
  </si>
  <si>
    <t>Introduction to Molecular Spectroscopy</t>
  </si>
  <si>
    <t>CY-243(3)</t>
  </si>
  <si>
    <t>Engineering Chemistry</t>
  </si>
  <si>
    <t>CY-247(3)</t>
  </si>
  <si>
    <t>Introduction to Molecular Thermodynamics</t>
  </si>
  <si>
    <t>CY-248(3)</t>
  </si>
  <si>
    <t>Molecular Physical Chemistry for Engineers</t>
  </si>
  <si>
    <t>CY-301 (3)</t>
  </si>
  <si>
    <t>Principles and Theories of Physical Chemistry</t>
  </si>
  <si>
    <t>CY-302 (3)</t>
  </si>
  <si>
    <t>Principles of Organic Chemistry</t>
  </si>
  <si>
    <t>CY-303 (3)</t>
  </si>
  <si>
    <t>Fundamentals of Inorganic Chemistry</t>
  </si>
  <si>
    <t>CY-304 (3)</t>
  </si>
  <si>
    <t>Fundamental Analytical Chemistry</t>
  </si>
  <si>
    <t>CY-342(3)</t>
  </si>
  <si>
    <t>Nanoscience:Understanding Small Systems</t>
  </si>
  <si>
    <t>CY-344(3)</t>
  </si>
  <si>
    <t>Food Chemistry Processing: Preservation and Storage</t>
  </si>
  <si>
    <t>CY-401 (3)</t>
  </si>
  <si>
    <t>Introduction to Quantum Chemistry &amp; Molecular Spectroscopy</t>
  </si>
  <si>
    <t>CY-402 (3)</t>
  </si>
  <si>
    <t>Applied Materials Chemistry</t>
  </si>
  <si>
    <t>CY-403 (3)</t>
  </si>
  <si>
    <t>Numerical methods and Data Analysis in Chemistry</t>
  </si>
  <si>
    <t>CY-404 (3)</t>
  </si>
  <si>
    <t>Fundamentals of Soft Matter Science and Applications</t>
  </si>
  <si>
    <t>CY-501(4)</t>
  </si>
  <si>
    <t>Organic Reaction &amp; Mechanism</t>
  </si>
  <si>
    <t>CY-501P(4)</t>
  </si>
  <si>
    <t>Organic Chemistry Laboratory</t>
  </si>
  <si>
    <t>CY-502(4)</t>
  </si>
  <si>
    <t>Photochemistry and Pericyclic Reactions</t>
  </si>
  <si>
    <t>CY-504(2)</t>
  </si>
  <si>
    <t>Heterocyclic Chemistry</t>
  </si>
  <si>
    <t>CY-506(4)</t>
  </si>
  <si>
    <t>Chemistry of Transition Elements</t>
  </si>
  <si>
    <t>CY-506P(4)</t>
  </si>
  <si>
    <t>Inorganic Chemistry Lab</t>
  </si>
  <si>
    <t>CY-507(4)</t>
  </si>
  <si>
    <t>Chemistry of Main Group Elements</t>
  </si>
  <si>
    <t>CY-508(2)</t>
  </si>
  <si>
    <t>Organometallic Chemistry</t>
  </si>
  <si>
    <t>CY-511(3)</t>
  </si>
  <si>
    <t>Group Theory and Spectroscopy</t>
  </si>
  <si>
    <t>CY-511P(4)</t>
  </si>
  <si>
    <t>Physical Chemistry Laboratory</t>
  </si>
  <si>
    <t>CY-512(3)</t>
  </si>
  <si>
    <t>Advanced Quantum Chemistry</t>
  </si>
  <si>
    <t>CY-513(3)</t>
  </si>
  <si>
    <t>Reaction Dynamics, Kinetics and Catalysis</t>
  </si>
  <si>
    <t>CY-514(3)</t>
  </si>
  <si>
    <t>Chemical Thermodynamics and Electrochemistry</t>
  </si>
  <si>
    <t>CY 515(3)</t>
  </si>
  <si>
    <t>Advanced Inorganic Spectroscopy</t>
  </si>
  <si>
    <t>CY-521(3)</t>
  </si>
  <si>
    <t>Mathematics for Chemists</t>
  </si>
  <si>
    <t>CY-522(3)</t>
  </si>
  <si>
    <t>Computational Chemistry</t>
  </si>
  <si>
    <t>CY-523(3)</t>
  </si>
  <si>
    <t>Colloids and Interface Science and Technology</t>
  </si>
  <si>
    <t>CY-524 (3)</t>
  </si>
  <si>
    <t>Basic and Applied Electrochemistry</t>
  </si>
  <si>
    <t>CY-541(3)</t>
  </si>
  <si>
    <t>Fundamentals of Organic Chemistry</t>
  </si>
  <si>
    <t>CY-547 (3)</t>
  </si>
  <si>
    <t>Chemical Crystallography</t>
  </si>
  <si>
    <t>CY-552(3)</t>
  </si>
  <si>
    <t>Hydrogen Generation and Storage</t>
  </si>
  <si>
    <t>CY-553(3)</t>
  </si>
  <si>
    <t>Organic Inorganic Spectroscopy</t>
  </si>
  <si>
    <t>CY-554(3)</t>
  </si>
  <si>
    <t>Science and Technology of Nanomaterials</t>
  </si>
  <si>
    <t>CY 555(3)</t>
  </si>
  <si>
    <t>Introduction to Polymer Science &amp; Technology</t>
  </si>
  <si>
    <t>CY-556(3)</t>
  </si>
  <si>
    <t>Organic Spectroscopy</t>
  </si>
  <si>
    <t>CY-558(3)</t>
  </si>
  <si>
    <t>Inorganic Chemistry for Sustainability</t>
  </si>
  <si>
    <t>CY 598P(4)</t>
  </si>
  <si>
    <t>Post Graduate Project – I (Chem)</t>
  </si>
  <si>
    <t>CY 599P(9)</t>
  </si>
  <si>
    <t>Post Graduate Project – II (Chem)</t>
  </si>
  <si>
    <t>CY-600 (1)</t>
  </si>
  <si>
    <t>Research Methodology for Chemistry</t>
  </si>
  <si>
    <t>CY-641(3)</t>
  </si>
  <si>
    <t>Polymer Synthesis</t>
  </si>
  <si>
    <t>CY-642(3)</t>
  </si>
  <si>
    <t>Molecular and Bio-electronics</t>
  </si>
  <si>
    <t>CY-643(3)</t>
  </si>
  <si>
    <t>Advanced Analytical Techniques</t>
  </si>
  <si>
    <t>CY-644(3)</t>
  </si>
  <si>
    <t>Bioinorganic Chemistry</t>
  </si>
  <si>
    <t>CY-645(3)</t>
  </si>
  <si>
    <t>Reagents in Organic Synthesis</t>
  </si>
  <si>
    <t>CY-646(3)</t>
  </si>
  <si>
    <t>Advanced NMR Spectroscopy: A Problem Based Approach</t>
  </si>
  <si>
    <t>CY 660(3)</t>
  </si>
  <si>
    <t>Photocatalysis: Fundamentals and Applications</t>
  </si>
  <si>
    <t>CY 670(3)</t>
  </si>
  <si>
    <t>Fluorescence spectroscopy, microscopy and applications</t>
  </si>
  <si>
    <t>CY-701(3)</t>
  </si>
  <si>
    <t>Advanced Physical Methods in Chemistry: Theory and Applications</t>
  </si>
  <si>
    <t>CY-702(3)</t>
  </si>
  <si>
    <t>Advanced Inorganic Chemistry:Theory and Applications</t>
  </si>
  <si>
    <t>CY-703(3)</t>
  </si>
  <si>
    <t>Advanced Organic Chemistry</t>
  </si>
  <si>
    <t>CY-704(3)</t>
  </si>
  <si>
    <t>Introduction to Theoretical Chemistry</t>
  </si>
  <si>
    <t>CY-705(3)</t>
  </si>
  <si>
    <t>Modern Methods in Organic Synthesis</t>
  </si>
  <si>
    <t>CY-746(3)</t>
  </si>
  <si>
    <t>Self assembly of surfactants and Polymers in Solution</t>
  </si>
  <si>
    <t>DP-301P(4)</t>
  </si>
  <si>
    <t>Interdisciplinary Socio-Technical Practicum</t>
  </si>
  <si>
    <t>0-0-6-4</t>
  </si>
  <si>
    <t>DP 399P XX (9)</t>
  </si>
  <si>
    <t>Semester Internship</t>
  </si>
  <si>
    <t>0-0-18-9</t>
  </si>
  <si>
    <t>DP-401P(3)</t>
  </si>
  <si>
    <t>B.Tech. Project</t>
  </si>
  <si>
    <t>0-0-4.5-3</t>
  </si>
  <si>
    <t>DP-401P(8)</t>
  </si>
  <si>
    <t>Major Technical Project</t>
  </si>
  <si>
    <t>0-0-12-8</t>
  </si>
  <si>
    <t>DP-402P(5)</t>
  </si>
  <si>
    <t>0-0-7.5-5</t>
  </si>
  <si>
    <t>DP-500P(3)</t>
  </si>
  <si>
    <t>Research Practicum (ME BRANCH)</t>
  </si>
  <si>
    <t>DP-501P(2)</t>
  </si>
  <si>
    <t>Design Practicum I (CHEMISTRY)</t>
  </si>
  <si>
    <t>DP-502P(2)</t>
  </si>
  <si>
    <t>Design Practicum II (CHEMISTRY)</t>
  </si>
  <si>
    <t>DP-503P(2)</t>
  </si>
  <si>
    <t>Basic Mechanical and Electrical Workshop (CHEMISTRY)</t>
  </si>
  <si>
    <t>DP-504P(4)</t>
  </si>
  <si>
    <t>Mini Project (CHEMISTRY)</t>
  </si>
  <si>
    <t>DP-505P(9)</t>
  </si>
  <si>
    <t>Main Project (CHEMISTRY)</t>
  </si>
  <si>
    <t>DP 512P(1)</t>
  </si>
  <si>
    <t>Industrial/Research Internship (EEM)</t>
  </si>
  <si>
    <t>Industrial/Research Internship (MES)</t>
  </si>
  <si>
    <t>DS-201(3)</t>
  </si>
  <si>
    <t>Data Handling and Visualization</t>
  </si>
  <si>
    <t>DS-301(3)</t>
  </si>
  <si>
    <t>Mathematical Foundations of Data Science</t>
  </si>
  <si>
    <t>DS-302(3)</t>
  </si>
  <si>
    <t>Computing Systems for Data Processing</t>
  </si>
  <si>
    <t>DS-303(3)</t>
  </si>
  <si>
    <t>Statistical Foundations of Data Science</t>
  </si>
  <si>
    <t>DS-313 (4)</t>
  </si>
  <si>
    <t>Statistical Foundations for Data Science</t>
  </si>
  <si>
    <t xml:space="preserve">3-1-0-4 </t>
  </si>
  <si>
    <t>DS-401(3)</t>
  </si>
  <si>
    <t>Optimization for Data Science</t>
  </si>
  <si>
    <t xml:space="preserve">3-0-0-3 </t>
  </si>
  <si>
    <t>DS-402(3)</t>
  </si>
  <si>
    <t>Matrix Computations for Data Science</t>
  </si>
  <si>
    <t>DS-403(3)</t>
  </si>
  <si>
    <t>Introduction to Statistical Learning</t>
  </si>
  <si>
    <t>DS-404(3)</t>
  </si>
  <si>
    <t>Information Security and Privacy</t>
  </si>
  <si>
    <t>DS-411 (4)</t>
  </si>
  <si>
    <t>DS-412 (4)</t>
  </si>
  <si>
    <t>DS-413(4)</t>
  </si>
  <si>
    <t>CS-498P(3)</t>
  </si>
  <si>
    <t>Major Technical Project-1</t>
  </si>
  <si>
    <t>CE-498P(3)</t>
  </si>
  <si>
    <t>EE-498P(3)</t>
  </si>
  <si>
    <t>ME-498P(3)</t>
  </si>
  <si>
    <t>EP-498P(3)</t>
  </si>
  <si>
    <t>DS-498P (3)</t>
  </si>
  <si>
    <t>BE-498P (3)</t>
  </si>
  <si>
    <t>DS-499P(5)</t>
  </si>
  <si>
    <t>Major Technical Project-2</t>
  </si>
  <si>
    <t>BE-499P(5)</t>
  </si>
  <si>
    <t>CS-499P(5)</t>
  </si>
  <si>
    <t>CE-499P(5)</t>
  </si>
  <si>
    <t>EE-499P(5)</t>
  </si>
  <si>
    <t>ME-499P(5)</t>
  </si>
  <si>
    <t>EP-499P(5)</t>
  </si>
  <si>
    <t>EE-201(3)</t>
  </si>
  <si>
    <t xml:space="preserve">Electromechanics  </t>
  </si>
  <si>
    <t>2.5-0.5-0-3</t>
  </si>
  <si>
    <t>EE-201P(1)</t>
  </si>
  <si>
    <t>Electromechanics Lab</t>
  </si>
  <si>
    <t>EE-203(3)</t>
  </si>
  <si>
    <t>Network Theory</t>
  </si>
  <si>
    <t>EE-203(4)</t>
  </si>
  <si>
    <t>EE-205 (3)</t>
  </si>
  <si>
    <t>Electromagnetics and Wave Propagation</t>
  </si>
  <si>
    <t>EE-208P(2)</t>
  </si>
  <si>
    <t>Digital Systems Design Practicum</t>
  </si>
  <si>
    <t>1-0-2-2</t>
  </si>
  <si>
    <t>EE 210 (4)</t>
  </si>
  <si>
    <t>Digital System Design</t>
  </si>
  <si>
    <t>EE 211 (3)</t>
  </si>
  <si>
    <t>Analog Circuit Design</t>
  </si>
  <si>
    <t>EE-223P(1)</t>
  </si>
  <si>
    <t>EE-231(3)</t>
  </si>
  <si>
    <t>Measurement and Instrumentation</t>
  </si>
  <si>
    <t>EE-301P(1)</t>
  </si>
  <si>
    <t>Control Systems Laboratory</t>
  </si>
  <si>
    <t>EE-303(4)</t>
  </si>
  <si>
    <t xml:space="preserve">Power Systems   </t>
  </si>
  <si>
    <t>EE-304(4)</t>
  </si>
  <si>
    <t>Communication theory</t>
  </si>
  <si>
    <t>EE-305(4)</t>
  </si>
  <si>
    <t>Digital Signal Processing</t>
  </si>
  <si>
    <t>EE-309(3)</t>
  </si>
  <si>
    <t>Power Electronics</t>
  </si>
  <si>
    <t>EE-309P(1)</t>
  </si>
  <si>
    <t>Power Electronics Lab</t>
  </si>
  <si>
    <t>EE-311(3)</t>
  </si>
  <si>
    <t>Device Electronics For Integrated Circuits</t>
  </si>
  <si>
    <t>EE-312P(2)</t>
  </si>
  <si>
    <t>Microelectronics Circuits Design Practicum (MCDP)</t>
  </si>
  <si>
    <t>EE-313(3)</t>
  </si>
  <si>
    <t>EE-314 (4)</t>
  </si>
  <si>
    <t>EE-326(4)</t>
  </si>
  <si>
    <t>Computer Organization and Processor Architecture Design</t>
  </si>
  <si>
    <t>EE-500 (3)</t>
  </si>
  <si>
    <t>Network Control System</t>
  </si>
  <si>
    <t>EE-501(3)</t>
  </si>
  <si>
    <t>Power System Operation and Control</t>
  </si>
  <si>
    <t>EE-502P(2)</t>
  </si>
  <si>
    <t>Analog System Design Laboratory</t>
  </si>
  <si>
    <t>EE-503(3)</t>
  </si>
  <si>
    <t>Advanced Communication Theory</t>
  </si>
  <si>
    <t>EE-504(3)</t>
  </si>
  <si>
    <t>Switch Mode Power Conversion</t>
  </si>
  <si>
    <t>EE-506(3)</t>
  </si>
  <si>
    <t>Solar Photovoltaic Energy Systems</t>
  </si>
  <si>
    <t>EE-507(4)</t>
  </si>
  <si>
    <t>Transmission Lines and Basic Microwave Engineering</t>
  </si>
  <si>
    <t>EE-508(3)</t>
  </si>
  <si>
    <t>Fundamentals of Electric Drives</t>
  </si>
  <si>
    <t>EE 508P(2)</t>
  </si>
  <si>
    <t>Practicum on Electric Drives</t>
  </si>
  <si>
    <t>EE-509(3)</t>
  </si>
  <si>
    <t>Linear Dynamical Systems</t>
  </si>
  <si>
    <t>Advanced Control Systems</t>
  </si>
  <si>
    <t>EE-509(4)</t>
  </si>
  <si>
    <t>Introduction to Advanced Control Systems</t>
  </si>
  <si>
    <t>EE-510(4)</t>
  </si>
  <si>
    <t>Mathematical Methods for Signal Processing</t>
  </si>
  <si>
    <t>EE-511(4)</t>
  </si>
  <si>
    <t>Computer Vision</t>
  </si>
  <si>
    <t>EE 511(4)</t>
  </si>
  <si>
    <t>EE-512(4)</t>
  </si>
  <si>
    <t>CMOS analog IC Design</t>
  </si>
  <si>
    <t>EE-513(3)</t>
  </si>
  <si>
    <t>Special Electrical Machines</t>
  </si>
  <si>
    <t>EE-514(3)</t>
  </si>
  <si>
    <t>Feedback Control Design</t>
  </si>
  <si>
    <t>Robust Control Systems</t>
  </si>
  <si>
    <t>EE-515(4)</t>
  </si>
  <si>
    <t>Nonlinear Stability and Control</t>
  </si>
  <si>
    <t>EE-516(4)</t>
  </si>
  <si>
    <t>Biomedical Systems</t>
  </si>
  <si>
    <t>2.5-0.5-1-4</t>
  </si>
  <si>
    <t>EE-517(3)</t>
  </si>
  <si>
    <t>Wireless Communications and Networking</t>
  </si>
  <si>
    <t>EE-518(3)</t>
  </si>
  <si>
    <t>Information Theory</t>
  </si>
  <si>
    <t>EE-519P(2)</t>
  </si>
  <si>
    <t>CMOS Digital IC design Practicum</t>
  </si>
  <si>
    <t>EE-520(3)</t>
  </si>
  <si>
    <t>Microelectronics Devices and Modelling</t>
  </si>
  <si>
    <t>EE 522(3)</t>
  </si>
  <si>
    <t>EE 523(4)</t>
  </si>
  <si>
    <t>Digital VLSI Architecture Design</t>
  </si>
  <si>
    <t>EE 524(3)</t>
  </si>
  <si>
    <t>Digital MOS LSI Circuits</t>
  </si>
  <si>
    <t>EE 526(3)</t>
  </si>
  <si>
    <t>Power Semiconductor Devices</t>
  </si>
  <si>
    <t>EE 527 (3)</t>
  </si>
  <si>
    <t>Analysis and Design of Power Electronic Converters</t>
  </si>
  <si>
    <t>EE 527P(2)</t>
  </si>
  <si>
    <t>Practicum on Analysis and Design of Power Electronic Converters</t>
  </si>
  <si>
    <t>EE 528 (3)</t>
  </si>
  <si>
    <t>Modelling and Analysis of Electrical Machines</t>
  </si>
  <si>
    <t>EE 529 (4)</t>
  </si>
  <si>
    <t>Embedded Systems</t>
  </si>
  <si>
    <t>EE 530 (3)</t>
  </si>
  <si>
    <t>Optimization Theory</t>
  </si>
  <si>
    <t>Applied Optimization</t>
  </si>
  <si>
    <t>EE 530(3)</t>
  </si>
  <si>
    <t>EE 531(3)</t>
  </si>
  <si>
    <t>Estimation and Detection Theory</t>
  </si>
  <si>
    <t>EE 532P(2)</t>
  </si>
  <si>
    <t>Supervised Research Exposure</t>
  </si>
  <si>
    <t>EE 534(3)</t>
  </si>
  <si>
    <t>EE 535P(2)</t>
  </si>
  <si>
    <t>Communication and Signal Processing Systems Design</t>
  </si>
  <si>
    <t>EE 536(3)</t>
  </si>
  <si>
    <t>IoT Systems</t>
  </si>
  <si>
    <t>EE 537(3)</t>
  </si>
  <si>
    <t>Power Quality Problems and Mitigation Techniques in Microgrids</t>
  </si>
  <si>
    <t>EE 540 (3)</t>
  </si>
  <si>
    <t>Wide Band Gap Devices in Power Electronics Applications</t>
  </si>
  <si>
    <t>EE-541(4)</t>
  </si>
  <si>
    <t>Tensors: Techniques, Algorithms, Applications for Signal Processing, and Machine Learning</t>
  </si>
  <si>
    <t>EE-542 (3)</t>
  </si>
  <si>
    <t>Modelling, Simulation and Control of Hybrid Electric Vehicle</t>
  </si>
  <si>
    <t>EE-543 (3)</t>
  </si>
  <si>
    <t>EE-551(3)</t>
  </si>
  <si>
    <t>Applied Photonics for Scientists and Engineers</t>
  </si>
  <si>
    <t>EE-552(4)</t>
  </si>
  <si>
    <t>Power Energy Systems</t>
  </si>
  <si>
    <t>EE-553(4)</t>
  </si>
  <si>
    <t>Foundations of Intelligent Communication Systems-I</t>
  </si>
  <si>
    <t>EE-554(3)</t>
  </si>
  <si>
    <t>Low Power VLSI Design</t>
  </si>
  <si>
    <t>EE-555(3)</t>
  </si>
  <si>
    <t>Intelligent Control System</t>
  </si>
  <si>
    <t>EE-556(1)</t>
  </si>
  <si>
    <t>Nuclear Reactor Control</t>
  </si>
  <si>
    <t>EE-557(3)</t>
  </si>
  <si>
    <t>Adaptive Control</t>
  </si>
  <si>
    <t>EE 560(4)</t>
  </si>
  <si>
    <t>Reconfigurable Computing</t>
  </si>
  <si>
    <t>EE-570 (4)</t>
  </si>
  <si>
    <t>EE-574(3)</t>
  </si>
  <si>
    <t>Biomedical Signal and Image Analysis</t>
  </si>
  <si>
    <t>EE-575(4)</t>
  </si>
  <si>
    <t>Applied statistics for data and signals</t>
  </si>
  <si>
    <t>EE 580 (3)</t>
  </si>
  <si>
    <t>Network Systems: Modelling and Analysis</t>
  </si>
  <si>
    <t>EE-581(4)</t>
  </si>
  <si>
    <t>Foundations of Intelligent Communication Systems-II</t>
  </si>
  <si>
    <t>EE-582(3)</t>
  </si>
  <si>
    <t>Nonlinear Analysis and Control of Power Electronic Converters</t>
  </si>
  <si>
    <t>EE-583(3)</t>
  </si>
  <si>
    <t>Smart Grids</t>
  </si>
  <si>
    <t>EE-584(3)</t>
  </si>
  <si>
    <t>Power System Protection</t>
  </si>
  <si>
    <t>EE-601(3)</t>
  </si>
  <si>
    <t>Advanced Electric Drives</t>
  </si>
  <si>
    <t>EE-602(3)</t>
  </si>
  <si>
    <t>Control System Applications</t>
  </si>
  <si>
    <t>EE-603(3)</t>
  </si>
  <si>
    <t>Renewable Energy and Smart Grid</t>
  </si>
  <si>
    <t>EE 604P(1)</t>
  </si>
  <si>
    <t>Practicum on Advanced Electric Drives</t>
  </si>
  <si>
    <t>EE-606(3)</t>
  </si>
  <si>
    <t>Introduction to High Voltage Engineering and Dielectric Breakdown</t>
  </si>
  <si>
    <t>EE-608(4)</t>
  </si>
  <si>
    <t>Digital Image Processing</t>
  </si>
  <si>
    <t>EE-609(3)</t>
  </si>
  <si>
    <t>Network Information Theory</t>
  </si>
  <si>
    <t>EE-611(3)</t>
  </si>
  <si>
    <t>VLSI Technology</t>
  </si>
  <si>
    <t>EE-611P</t>
  </si>
  <si>
    <t>VLSI Fabrication Practicum</t>
  </si>
  <si>
    <t>EE-614(3)</t>
  </si>
  <si>
    <t>Optical Communication Systems</t>
  </si>
  <si>
    <t>EE-615(3)</t>
  </si>
  <si>
    <t>Nano Electronics and Nano-microfabrication</t>
  </si>
  <si>
    <t>EE-616(2)</t>
  </si>
  <si>
    <t>Microwave Engineering</t>
  </si>
  <si>
    <t>EE-618(3)</t>
  </si>
  <si>
    <t>Industrial Process Control</t>
  </si>
  <si>
    <t>EE-619(4)</t>
  </si>
  <si>
    <t>Mixed Signal VLSI Design</t>
  </si>
  <si>
    <t>EE-620(3)</t>
  </si>
  <si>
    <t>Advanced Digital Signal Processing</t>
  </si>
  <si>
    <t>EE 620(3)</t>
  </si>
  <si>
    <t>EE-621(4)</t>
  </si>
  <si>
    <t>Radiating Systems</t>
  </si>
  <si>
    <t>EE 622(3)</t>
  </si>
  <si>
    <t>Microwave Integrated Circuits</t>
  </si>
  <si>
    <t>EE 623P(3)</t>
  </si>
  <si>
    <t>Practicum on Digital Control of Electric Drives</t>
  </si>
  <si>
    <t>EE-623P(3)</t>
  </si>
  <si>
    <t>Practicum on Digital Control of Power Electronics and Drives</t>
  </si>
  <si>
    <t>1-0-4-3</t>
  </si>
  <si>
    <t>EE 624P(8)</t>
  </si>
  <si>
    <t>Post Graduate Project – I (PED)</t>
  </si>
  <si>
    <t>0-0-16-8</t>
  </si>
  <si>
    <t>EE 624P(15)</t>
  </si>
  <si>
    <t>EE 625P (17)</t>
  </si>
  <si>
    <t>Post Graduate Project – II (PED)</t>
  </si>
  <si>
    <t>EE 625P (16)</t>
  </si>
  <si>
    <t>EE 626P(10)</t>
  </si>
  <si>
    <t>Post Graduate Project – I (CSP)</t>
  </si>
  <si>
    <t>0-0-20-10</t>
  </si>
  <si>
    <t>EE 627P(18)</t>
  </si>
  <si>
    <t>Post Graduate Project – II (CSP)</t>
  </si>
  <si>
    <t>0-0-36-18</t>
  </si>
  <si>
    <t>EE-630(3)</t>
  </si>
  <si>
    <t>HVDC Transmission and Flexible AC Transmission Systems</t>
  </si>
  <si>
    <t>EE-641(3)</t>
  </si>
  <si>
    <t>Next Generation Wireless Technologies</t>
  </si>
  <si>
    <t>EE 642 (3)</t>
  </si>
  <si>
    <t>Research Study (VLSI)</t>
  </si>
  <si>
    <t>EE-650P(17)</t>
  </si>
  <si>
    <t>Post Graduate Project – I (VLSI)</t>
  </si>
  <si>
    <t>EE-651P(17)</t>
  </si>
  <si>
    <t>Post Graduate Project – II (VLSI)</t>
  </si>
  <si>
    <t>EM-504(4)</t>
  </si>
  <si>
    <t>Materials for Energy Applications</t>
  </si>
  <si>
    <t>EM-505(3)</t>
  </si>
  <si>
    <t>Alternative Energy Sources for Transportation</t>
  </si>
  <si>
    <t>EM-603(2)</t>
  </si>
  <si>
    <t>Design Practicum</t>
  </si>
  <si>
    <t>EM-651 (3)</t>
  </si>
  <si>
    <t>Photovoltaic Materials and Fabrication</t>
  </si>
  <si>
    <t>EM-658(3)</t>
  </si>
  <si>
    <t>Technical Communication</t>
  </si>
  <si>
    <t>EN-501(3)</t>
  </si>
  <si>
    <t>Energy Sources and Power Plants</t>
  </si>
  <si>
    <t>EN-502(3)</t>
  </si>
  <si>
    <t>Emerging Energy Sources</t>
  </si>
  <si>
    <t>EN-503(3)</t>
  </si>
  <si>
    <t>Energy Storage Technologies</t>
  </si>
  <si>
    <t>EN-504(3)</t>
  </si>
  <si>
    <t>Energy:Environment Policy and Law</t>
  </si>
  <si>
    <t>EN-505P(2)</t>
  </si>
  <si>
    <t>Energy Systems Laboratory</t>
  </si>
  <si>
    <t>EN-506(3)</t>
  </si>
  <si>
    <t>Design of Energy Systems (old Name &amp; No)</t>
  </si>
  <si>
    <t>EN-507(3)</t>
  </si>
  <si>
    <t>Transport Phenomena for Energy Systems</t>
  </si>
  <si>
    <t>EN-508(3)</t>
  </si>
  <si>
    <t>Solid Mechanics for Energy Systems</t>
  </si>
  <si>
    <t>EN 509(3)</t>
  </si>
  <si>
    <t>Functional Materials for Energy Engineering</t>
  </si>
  <si>
    <t>EN 510(4)</t>
  </si>
  <si>
    <t>Electrochemical Systems for Energy Engineering</t>
  </si>
  <si>
    <t>EN-511(3)</t>
  </si>
  <si>
    <t>Structure-Property Characterization</t>
  </si>
  <si>
    <t>EN 511 (4)</t>
  </si>
  <si>
    <t>Computational Methods in Material Science</t>
  </si>
  <si>
    <t>1-0-6-4</t>
  </si>
  <si>
    <t>EN-512(3)</t>
  </si>
  <si>
    <t>Creep-Fatigue Interaction</t>
  </si>
  <si>
    <t>EN 512 (3)</t>
  </si>
  <si>
    <t>Structure-Property Correlations for Energy Applications</t>
  </si>
  <si>
    <t>EN-513(3)</t>
  </si>
  <si>
    <t>Life Extension Engineering</t>
  </si>
  <si>
    <t>EN-604(3)</t>
  </si>
  <si>
    <t>EN-605(3)</t>
  </si>
  <si>
    <t>Modeling and simulation for Energy Systems</t>
  </si>
  <si>
    <t>EN-611(3)</t>
  </si>
  <si>
    <t>Durability Behavior of Energy Materials</t>
  </si>
  <si>
    <t>EN-612(3)</t>
  </si>
  <si>
    <t>Structure-Property correlation in materials for Energy Applications</t>
  </si>
  <si>
    <t>EN-613(3)</t>
  </si>
  <si>
    <t>EN 695P (2)</t>
  </si>
  <si>
    <t>Post Graduate Project  -I</t>
  </si>
  <si>
    <t>EP 301(4)</t>
  </si>
  <si>
    <t>Engineering Mathematics – 2</t>
  </si>
  <si>
    <t>EP 302(3)</t>
  </si>
  <si>
    <t>Computational Methods for Engineering</t>
  </si>
  <si>
    <t>EP-401P(4)</t>
  </si>
  <si>
    <t>Engineering of Instrumentation</t>
  </si>
  <si>
    <t>1-0-5-4</t>
  </si>
  <si>
    <t>EP-402P(4)</t>
  </si>
  <si>
    <t>Engineering Physics Practicum</t>
  </si>
  <si>
    <t>EP 403(3)</t>
  </si>
  <si>
    <t>Physics of Atoms and Molecules</t>
  </si>
  <si>
    <t>EP-502 (3)</t>
  </si>
  <si>
    <t>Informatics for Materials Design</t>
  </si>
  <si>
    <t>ET 501(3)</t>
  </si>
  <si>
    <t>Power Electronic Applications in Electric Transportation</t>
  </si>
  <si>
    <t>ET 502 (4)</t>
  </si>
  <si>
    <t>Embedded Systems and IoT for E-Transportation</t>
  </si>
  <si>
    <t>ET 503(3)</t>
  </si>
  <si>
    <t>Electrical Machine and Drives in Electric Transportation</t>
  </si>
  <si>
    <t>ET-504P (2)</t>
  </si>
  <si>
    <t>Systems Design for Electric Vehicles</t>
  </si>
  <si>
    <t>GE-501(3)</t>
  </si>
  <si>
    <t>Creative Engineering Design</t>
  </si>
  <si>
    <t>GE-502(3)</t>
  </si>
  <si>
    <t>Consciousness and professional ethics</t>
  </si>
  <si>
    <t>GE-521(3)</t>
  </si>
  <si>
    <t>Essentials of Entrepreneurship</t>
  </si>
  <si>
    <t>GE-522(4)</t>
  </si>
  <si>
    <t> Entrepreneurship and Technology Commercialization</t>
  </si>
  <si>
    <t>GE-523 (3)</t>
  </si>
  <si>
    <t>Startup Framework: Finance, Valuation, and Structure</t>
  </si>
  <si>
    <t>HC-600(1)</t>
  </si>
  <si>
    <t>HS-102(1)</t>
  </si>
  <si>
    <t>Art and Architecture</t>
  </si>
  <si>
    <t>HS-103(1)</t>
  </si>
  <si>
    <t>Dance and Drama</t>
  </si>
  <si>
    <t>HS-104(1)</t>
  </si>
  <si>
    <t>Music</t>
  </si>
  <si>
    <t>HS-105(3)</t>
  </si>
  <si>
    <t>Basic Communication Skills</t>
  </si>
  <si>
    <t>HS-106(3)</t>
  </si>
  <si>
    <t>English I</t>
  </si>
  <si>
    <t>HS 107(1)</t>
  </si>
  <si>
    <t>Exploring Creative Art Forms</t>
  </si>
  <si>
    <t>HS-108 (3)</t>
  </si>
  <si>
    <t>Basic English for Engineers</t>
  </si>
  <si>
    <t>HS-109(3)</t>
  </si>
  <si>
    <t>Advanced English for Engineers</t>
  </si>
  <si>
    <t>HS-110(3)</t>
  </si>
  <si>
    <t>Japanese Language for Beginners</t>
  </si>
  <si>
    <t>HS-111(3)</t>
  </si>
  <si>
    <t>Japanese Language for Daily Life</t>
  </si>
  <si>
    <t>Communication and Technology</t>
  </si>
  <si>
    <t>HS-151(3)</t>
  </si>
  <si>
    <t>Introduction to English Literature</t>
  </si>
  <si>
    <t>HS-152(3)</t>
  </si>
  <si>
    <t>Introduction to Rhetoric</t>
  </si>
  <si>
    <t>HS-201(3)</t>
  </si>
  <si>
    <t xml:space="preserve">Indian Economic Development  </t>
  </si>
  <si>
    <t>HS-202(3)</t>
  </si>
  <si>
    <t xml:space="preserve">Principles of Economics  </t>
  </si>
  <si>
    <t>HS-203(3)</t>
  </si>
  <si>
    <t>Understanding Society</t>
  </si>
  <si>
    <t>HS-204(3)</t>
  </si>
  <si>
    <t>Introduction to Political Sciences</t>
  </si>
  <si>
    <t>HS-205(3)</t>
  </si>
  <si>
    <t>Financial Accounting</t>
  </si>
  <si>
    <t>HS-206(3)</t>
  </si>
  <si>
    <t>Public Speaking and Debating Skills</t>
  </si>
  <si>
    <t>HS-208(3)</t>
  </si>
  <si>
    <t>English II</t>
  </si>
  <si>
    <t>HS-209(3)</t>
  </si>
  <si>
    <t>New Media Arts</t>
  </si>
  <si>
    <t>HS-235(3)</t>
  </si>
  <si>
    <t>Introductory Econometrics</t>
  </si>
  <si>
    <t>HS-252(3)</t>
  </si>
  <si>
    <t>Introduction to Psychology</t>
  </si>
  <si>
    <t>HS-254(3)</t>
  </si>
  <si>
    <t>Introduction to European Philosophy</t>
  </si>
  <si>
    <t>HS-255(3)</t>
  </si>
  <si>
    <t>India since Independence</t>
  </si>
  <si>
    <t>HS-261(3)</t>
  </si>
  <si>
    <t>The Indian Constitution</t>
  </si>
  <si>
    <t>HS-263(3)</t>
  </si>
  <si>
    <t>Popular Culture in Modern India : A Historical Perspective</t>
  </si>
  <si>
    <t>HS-301(3)</t>
  </si>
  <si>
    <t>Policy Analysis and Advocacy Skills</t>
  </si>
  <si>
    <t>HS-302 (3)</t>
  </si>
  <si>
    <t>Introduction to Drama in English</t>
  </si>
  <si>
    <t>HS-303 (3)</t>
  </si>
  <si>
    <t>Partition of India: History and Legacy</t>
  </si>
  <si>
    <t>HS-304(3)</t>
  </si>
  <si>
    <t>Organizational Management</t>
  </si>
  <si>
    <t>HS-306(3)</t>
  </si>
  <si>
    <t>Introduction to German Literature</t>
  </si>
  <si>
    <t>HS-307(3)</t>
  </si>
  <si>
    <t>Macroeconomics I</t>
  </si>
  <si>
    <t>HS-308 (2)</t>
  </si>
  <si>
    <t>Introduction to Modern European Literature</t>
  </si>
  <si>
    <t>HS-331(3)</t>
  </si>
  <si>
    <t>Role of Aesthetics in Design</t>
  </si>
  <si>
    <t>HS-341(3)</t>
  </si>
  <si>
    <t>Communication and Discourse</t>
  </si>
  <si>
    <t>HS-342(3)</t>
  </si>
  <si>
    <t>German-I</t>
  </si>
  <si>
    <t>HS-343(3)</t>
  </si>
  <si>
    <t>Introduction to Political Philosophy</t>
  </si>
  <si>
    <t>HS-344(3)</t>
  </si>
  <si>
    <t>Introduction to Sociology</t>
  </si>
  <si>
    <t>HS-350(3)</t>
  </si>
  <si>
    <t>Traditional Media Arts</t>
  </si>
  <si>
    <t>HS-351(3)</t>
  </si>
  <si>
    <t>Popular Fiction</t>
  </si>
  <si>
    <t>HS-352(3)</t>
  </si>
  <si>
    <t>German II</t>
  </si>
  <si>
    <t>HS-353(3)</t>
  </si>
  <si>
    <t>Science Technology and Society</t>
  </si>
  <si>
    <t>HS-354(3)</t>
  </si>
  <si>
    <t>Social Psychology</t>
  </si>
  <si>
    <t>HS-355(3)</t>
  </si>
  <si>
    <t>India through its Epics</t>
  </si>
  <si>
    <t>HS-357(3)</t>
  </si>
  <si>
    <t>Creative Writing</t>
  </si>
  <si>
    <t>HS-358(3)</t>
  </si>
  <si>
    <t>Science Writing</t>
  </si>
  <si>
    <t>HS-362(3)</t>
  </si>
  <si>
    <t>German III</t>
  </si>
  <si>
    <t>HS-363(3)</t>
  </si>
  <si>
    <t>Post-war Germany: A Literaray Perspective</t>
  </si>
  <si>
    <t>HS-364(3)</t>
  </si>
  <si>
    <t>Modern China:A Historical Survey</t>
  </si>
  <si>
    <t>HS-372(3)</t>
  </si>
  <si>
    <t>German IV</t>
  </si>
  <si>
    <t>HS-373(3)</t>
  </si>
  <si>
    <t>Readings from German History</t>
  </si>
  <si>
    <t>HS-381(3)</t>
  </si>
  <si>
    <t>Indian Society: Structure and Change</t>
  </si>
  <si>
    <t>HS-391(3)</t>
  </si>
  <si>
    <t>Introduction to World History</t>
  </si>
  <si>
    <t>HS-393(3)</t>
  </si>
  <si>
    <t>Technology and World History:1400 to the present</t>
  </si>
  <si>
    <t>HS-401(3)</t>
  </si>
  <si>
    <t>Tribal India, Indigenous Latin America</t>
  </si>
  <si>
    <t>HS-403(3)</t>
  </si>
  <si>
    <t>Organizational Behavior</t>
  </si>
  <si>
    <t>HS-450(3)</t>
  </si>
  <si>
    <t>Financial Management</t>
  </si>
  <si>
    <t>HS-451(3)</t>
  </si>
  <si>
    <t>Modern Literature</t>
  </si>
  <si>
    <t>HS-472(3)</t>
  </si>
  <si>
    <t>Sociology of Development</t>
  </si>
  <si>
    <t>HS-481(3)</t>
  </si>
  <si>
    <t>International Economics</t>
  </si>
  <si>
    <t>HS-501(4)</t>
  </si>
  <si>
    <t>Global Health and Demography</t>
  </si>
  <si>
    <t>HS-503(4)</t>
  </si>
  <si>
    <t>German Literature from World War II to Reunification</t>
  </si>
  <si>
    <t>HS-504(3)</t>
  </si>
  <si>
    <t>Personal Finance and Portfolio Management</t>
  </si>
  <si>
    <t>HS-505(3)</t>
  </si>
  <si>
    <t>Circularity in Modern European Literature</t>
  </si>
  <si>
    <t>HS-506 (3)</t>
  </si>
  <si>
    <t>Population Studies: Theory and Basic Analysis</t>
  </si>
  <si>
    <t>HS-508(3)</t>
  </si>
  <si>
    <t>Socio-Technical System Engineering</t>
  </si>
  <si>
    <t>HS 510(3)</t>
  </si>
  <si>
    <t>HS-522 (3)</t>
  </si>
  <si>
    <t>Research Methodology to Social Science</t>
  </si>
  <si>
    <t>HS-522 (4)</t>
  </si>
  <si>
    <t>HS 523(3)</t>
  </si>
  <si>
    <t>Decision Making for Social Change</t>
  </si>
  <si>
    <t>HS 524(3)</t>
  </si>
  <si>
    <t>India in the 1950s: Biography of a Foundational Decade</t>
  </si>
  <si>
    <t>HS 525(3)</t>
  </si>
  <si>
    <t>History of Development Thought</t>
  </si>
  <si>
    <t>HS 526(3)</t>
  </si>
  <si>
    <t>Human Geography: A Western Himalayan Perspective</t>
  </si>
  <si>
    <t>HS 527(3)</t>
  </si>
  <si>
    <t>Indian Social Structure and Development</t>
  </si>
  <si>
    <t>HS 528 (3)</t>
  </si>
  <si>
    <t>Information Technology and Development</t>
  </si>
  <si>
    <t>HS-528 (3)</t>
  </si>
  <si>
    <t>HS 529(3)</t>
  </si>
  <si>
    <t>Natural Resource and Development</t>
  </si>
  <si>
    <t>HS 530(3)</t>
  </si>
  <si>
    <t>Planning, Welfare and Development</t>
  </si>
  <si>
    <t>HS 531(3)</t>
  </si>
  <si>
    <t>Gender and Development</t>
  </si>
  <si>
    <t>HS 532(3)</t>
  </si>
  <si>
    <t>Sustainable Development and Environmental Protection</t>
  </si>
  <si>
    <t>HS 533(3)</t>
  </si>
  <si>
    <t>Urban Development</t>
  </si>
  <si>
    <t>HS 534(3)</t>
  </si>
  <si>
    <t>Economic of Climate Change</t>
  </si>
  <si>
    <t>HS 535(3)</t>
  </si>
  <si>
    <t>Financial Inclusion in India</t>
  </si>
  <si>
    <t>HS-536(3)</t>
  </si>
  <si>
    <t>Social Movements in India</t>
  </si>
  <si>
    <t>HS 537 (3)</t>
  </si>
  <si>
    <t>Post-Reform India: Polity, Society and Economy</t>
  </si>
  <si>
    <t>HS 538 (3)</t>
  </si>
  <si>
    <t>Development Economics</t>
  </si>
  <si>
    <t>HS 539(3)</t>
  </si>
  <si>
    <t>Post-War Germany: Politics, Society and Culture</t>
  </si>
  <si>
    <t>HS -541(1)</t>
  </si>
  <si>
    <t>HS 542(3)</t>
  </si>
  <si>
    <t>Ethnicity, State, and Nationalism in India</t>
  </si>
  <si>
    <t>HS 543(3)</t>
  </si>
  <si>
    <t>Epidemics in World History: From the Black Death to COVID-19</t>
  </si>
  <si>
    <t>HS 544(3)</t>
  </si>
  <si>
    <t>Disaster Risk Management</t>
  </si>
  <si>
    <t>HS 545(4)</t>
  </si>
  <si>
    <t>Applied Forensic Psychology</t>
  </si>
  <si>
    <t>HS-546 (3)</t>
  </si>
  <si>
    <t>Readings in World Literature</t>
  </si>
  <si>
    <t>HS-547 (3)</t>
  </si>
  <si>
    <t>Philosophy of Texts and Narratives</t>
  </si>
  <si>
    <t>HS-548 (3)</t>
  </si>
  <si>
    <t>Science and Society</t>
  </si>
  <si>
    <t>HS-549 (3)</t>
  </si>
  <si>
    <t>Indian Literatures in English Translation</t>
  </si>
  <si>
    <t>HS 550 (4)</t>
  </si>
  <si>
    <t>Statistical Methods</t>
  </si>
  <si>
    <t>HS 550P (1)</t>
  </si>
  <si>
    <t>Statistical Methods Practical</t>
  </si>
  <si>
    <t>HS 551(3)</t>
  </si>
  <si>
    <t>HS 551P(4)</t>
  </si>
  <si>
    <t>Development Studies Practicum I</t>
  </si>
  <si>
    <t>HS 552P(4)</t>
  </si>
  <si>
    <t>Development Studies Practicum II</t>
  </si>
  <si>
    <t>HS 553P(4)</t>
  </si>
  <si>
    <t>Field Study</t>
  </si>
  <si>
    <t>HS 554P(23)</t>
  </si>
  <si>
    <t>Dissertation</t>
  </si>
  <si>
    <t>0-0-35-23</t>
  </si>
  <si>
    <t xml:space="preserve">Post Graduate Project   </t>
  </si>
  <si>
    <t>HS 554P(22)</t>
  </si>
  <si>
    <t>0-0-33-22</t>
  </si>
  <si>
    <t>HS-555 (3)</t>
  </si>
  <si>
    <t>Infrastructural Development in Highland South Asia</t>
  </si>
  <si>
    <t>HS-556 (3)</t>
  </si>
  <si>
    <t>Classical Social Theories</t>
  </si>
  <si>
    <t>HS-563(3)</t>
  </si>
  <si>
    <t>Theory and Methods of Policy Analysis</t>
  </si>
  <si>
    <t>HS-575(3)</t>
  </si>
  <si>
    <t>Mayan America</t>
  </si>
  <si>
    <t>HS-582(3)</t>
  </si>
  <si>
    <t>Energy Economics</t>
  </si>
  <si>
    <t>HS-600 (1)</t>
  </si>
  <si>
    <t>HS-601(3)</t>
  </si>
  <si>
    <t>Literary Methods: Theory and Interpretation</t>
  </si>
  <si>
    <t>HS-602(3)</t>
  </si>
  <si>
    <t>Indian Writing In English</t>
  </si>
  <si>
    <t>HS-606 (4)</t>
  </si>
  <si>
    <t>Political Philosophy</t>
  </si>
  <si>
    <t>HS-607(3)</t>
  </si>
  <si>
    <t>Weimar Classicism</t>
  </si>
  <si>
    <t>HS-608(3)</t>
  </si>
  <si>
    <t>Modern Western Social Thought</t>
  </si>
  <si>
    <t>HS-610 (3)</t>
  </si>
  <si>
    <t>Reading Cultural Studies</t>
  </si>
  <si>
    <t>HS-611(3)</t>
  </si>
  <si>
    <t>Research Writing</t>
  </si>
  <si>
    <t>HS-616(3)</t>
  </si>
  <si>
    <t>Managerial Thinking and Decision Making</t>
  </si>
  <si>
    <t>HS-620(3)</t>
  </si>
  <si>
    <t>Popular Narratives</t>
  </si>
  <si>
    <t>HS-621(4)</t>
  </si>
  <si>
    <t>Advance Qualitative Research Methods</t>
  </si>
  <si>
    <t>HS-623(4)</t>
  </si>
  <si>
    <t>Advance Social Psychology</t>
  </si>
  <si>
    <t>HS-624(4)</t>
  </si>
  <si>
    <t>Advanced Organizational Psychology</t>
  </si>
  <si>
    <t>HS-626(3)</t>
  </si>
  <si>
    <t>Eighteenth Century German Aesthetic and Literary Criticism</t>
  </si>
  <si>
    <t>HS-627(3)</t>
  </si>
  <si>
    <t>Readings in Eighteenth Century German Literature</t>
  </si>
  <si>
    <t>HS-629(3)</t>
  </si>
  <si>
    <t>German Studies: An Intellectual and Cultural Approach (1750-2000)</t>
  </si>
  <si>
    <t>HS-631(3)</t>
  </si>
  <si>
    <t>Historical Theory and Methodology</t>
  </si>
  <si>
    <t>HS-632(3)</t>
  </si>
  <si>
    <t>South Indian Epigraphy</t>
  </si>
  <si>
    <t>HS-633(3)</t>
  </si>
  <si>
    <t>Manuscriptology</t>
  </si>
  <si>
    <t>HS-634(3)</t>
  </si>
  <si>
    <t>British Factories in South India</t>
  </si>
  <si>
    <t>HS-636(3)</t>
  </si>
  <si>
    <t>Sociology of Religion</t>
  </si>
  <si>
    <t>HS-637(3)</t>
  </si>
  <si>
    <t>The Historian's Craft</t>
  </si>
  <si>
    <t>HS-650(3)</t>
  </si>
  <si>
    <t>HS-651(3)</t>
  </si>
  <si>
    <t>Advanced Econometrics</t>
  </si>
  <si>
    <t>HS-652(3)</t>
  </si>
  <si>
    <t>Advanced Microeconomic Theory</t>
  </si>
  <si>
    <t>HS-653(3)</t>
  </si>
  <si>
    <t>Environmental Economics</t>
  </si>
  <si>
    <t>HS-654(4)</t>
  </si>
  <si>
    <t>Health Economics</t>
  </si>
  <si>
    <t>HS-694(3)</t>
  </si>
  <si>
    <t>Readings in Himachal History and Culture</t>
  </si>
  <si>
    <t>IC-011(2)</t>
  </si>
  <si>
    <t>Internship/ Entrepreneurship Practicum- Part I</t>
  </si>
  <si>
    <t>IC-101P(2)</t>
  </si>
  <si>
    <t>IC-102P (4)</t>
  </si>
  <si>
    <t>Foundations of Design Practicum</t>
  </si>
  <si>
    <t>IC-110(3)</t>
  </si>
  <si>
    <t>Engineering Mathematics</t>
  </si>
  <si>
    <t>IC-111(3)</t>
  </si>
  <si>
    <t>Linear Algebra</t>
  </si>
  <si>
    <t>IC-112 (2)</t>
  </si>
  <si>
    <t>Calculus</t>
  </si>
  <si>
    <t>1.5-0.5-0-2</t>
  </si>
  <si>
    <t>IC-113(2)</t>
  </si>
  <si>
    <t>Complex and Vector Calculus</t>
  </si>
  <si>
    <t>IC-114(0)</t>
  </si>
  <si>
    <t>Linera Algebra</t>
  </si>
  <si>
    <t>IC-115(0)</t>
  </si>
  <si>
    <t>ODE and Integral Transform</t>
  </si>
  <si>
    <t>IC-121(3)</t>
  </si>
  <si>
    <t>Mechanics of Particles and Waves</t>
  </si>
  <si>
    <t>IC-130P(2)</t>
  </si>
  <si>
    <t>Chemistry Practicum</t>
  </si>
  <si>
    <t>IC-131(3)</t>
  </si>
  <si>
    <t>Applied Chemistry for Engineers</t>
  </si>
  <si>
    <t>IC-136(3)</t>
  </si>
  <si>
    <t>Understanding Biotechnology and its Applications</t>
  </si>
  <si>
    <t>IC-140(4)</t>
  </si>
  <si>
    <t>Graphics for Design</t>
  </si>
  <si>
    <t>2-0-3-4</t>
  </si>
  <si>
    <t>IC-141(2)</t>
  </si>
  <si>
    <t>Product Realization Technology</t>
  </si>
  <si>
    <t>2-0-4-2</t>
  </si>
  <si>
    <t>IC-141P(2)</t>
  </si>
  <si>
    <t>Product Realization Technology Lab</t>
  </si>
  <si>
    <t>IC-142(3)</t>
  </si>
  <si>
    <t>Engineering Thermodynamics</t>
  </si>
  <si>
    <t>IC-150(3)</t>
  </si>
  <si>
    <t>Computation for Engineers</t>
  </si>
  <si>
    <t>IC-150P(2)</t>
  </si>
  <si>
    <t>Computation for Engineers Lab</t>
  </si>
  <si>
    <t>IC 152 (4)</t>
  </si>
  <si>
    <t>Computing and Data Science</t>
  </si>
  <si>
    <t>IC-160(3)</t>
  </si>
  <si>
    <t>Electrical Systems Around Us</t>
  </si>
  <si>
    <t>IC-160P(2)</t>
  </si>
  <si>
    <t>Electrical Systems Around Us Lab</t>
  </si>
  <si>
    <t>IC-161(3)</t>
  </si>
  <si>
    <t>Applied Electronics</t>
  </si>
  <si>
    <t>IC-161P(2)</t>
  </si>
  <si>
    <t>Applied Electronics Lab</t>
  </si>
  <si>
    <t>IC 171P (4)</t>
  </si>
  <si>
    <t>Foundation Design Practicum</t>
  </si>
  <si>
    <t>IC 181(3)</t>
  </si>
  <si>
    <t>Introduction to Consciousness and Holistic Wellbeing</t>
  </si>
  <si>
    <t>IC-202P (3)</t>
  </si>
  <si>
    <t>IC-210(3)</t>
  </si>
  <si>
    <t>Probability, Statistics and Random Processes</t>
  </si>
  <si>
    <t>IC-221(3)</t>
  </si>
  <si>
    <t>Foundations of Electrodynamics</t>
  </si>
  <si>
    <t>IC-222P(2)</t>
  </si>
  <si>
    <t>Physics Practicum/Practicals</t>
  </si>
  <si>
    <t>IC 230(3)</t>
  </si>
  <si>
    <t>Environmental Science</t>
  </si>
  <si>
    <t>IC-231 (3)</t>
  </si>
  <si>
    <t>Measurement and Instrumentation Practicum</t>
  </si>
  <si>
    <t>IC 231 (3)</t>
  </si>
  <si>
    <t>IC-240(3)</t>
  </si>
  <si>
    <t>Mechanics of Rigid Bodies</t>
  </si>
  <si>
    <t>1.5-1.5-0-3</t>
  </si>
  <si>
    <t>IC-241(3)</t>
  </si>
  <si>
    <t>Materials Science for Engineers</t>
  </si>
  <si>
    <t>IC-242(3)</t>
  </si>
  <si>
    <t>Continuum Mechanics</t>
  </si>
  <si>
    <t>IC-250(3)</t>
  </si>
  <si>
    <t>IC 252(4)</t>
  </si>
  <si>
    <t>Data Science 2</t>
  </si>
  <si>
    <t>Probability and Statistics</t>
  </si>
  <si>
    <t>IC-253(3)</t>
  </si>
  <si>
    <t>Programming and Data Structures</t>
  </si>
  <si>
    <t>IC-260(3)</t>
  </si>
  <si>
    <t>Signals and Systems</t>
  </si>
  <si>
    <t>IC-272(3)</t>
  </si>
  <si>
    <t>Machine Learning</t>
  </si>
  <si>
    <t>IC-301P(4)</t>
  </si>
  <si>
    <t>Market Research and Analysis(OPTIONAL)</t>
  </si>
  <si>
    <t>IC-401P(4)</t>
  </si>
  <si>
    <t>B.Tech Project (OPTIONAL)</t>
  </si>
  <si>
    <t>IC-402P(4)</t>
  </si>
  <si>
    <t>B.Tech Project Continued</t>
  </si>
  <si>
    <t>INT-010P(2)</t>
  </si>
  <si>
    <t>Internship</t>
  </si>
  <si>
    <t>IC 272(3)</t>
  </si>
  <si>
    <t>Data Science III</t>
  </si>
  <si>
    <t>IK-501(3)</t>
  </si>
  <si>
    <t>Yoga sutras</t>
  </si>
  <si>
    <t>IK-502(4)</t>
  </si>
  <si>
    <t>Introduction to Bio-signals</t>
  </si>
  <si>
    <t>IK-503(3)</t>
  </si>
  <si>
    <t>Cognitive Psychology and the Indian Thought System</t>
  </si>
  <si>
    <t>IK-504(3)</t>
  </si>
  <si>
    <t>Bhagavad Gita - Comprehensive</t>
  </si>
  <si>
    <t>IK-505(3)</t>
  </si>
  <si>
    <t xml:space="preserve">Bhagwat Samkhya </t>
  </si>
  <si>
    <t>IK_506 (3)</t>
  </si>
  <si>
    <t>Research Methods and Statistics for Contemplative Science</t>
  </si>
  <si>
    <t>IK_507 (3)</t>
  </si>
  <si>
    <t>Neuroscience and Mental Health</t>
  </si>
  <si>
    <t>IK-508(3)</t>
  </si>
  <si>
    <t>Music and Musopathy Intermediate</t>
  </si>
  <si>
    <t>IK-509 (1)</t>
  </si>
  <si>
    <t>IK-510 (4)</t>
  </si>
  <si>
    <t>Cognitive Neuroscience</t>
  </si>
  <si>
    <t>IK-511(3)</t>
  </si>
  <si>
    <t>Science of Ayurveda</t>
  </si>
  <si>
    <t>IK-512(3)</t>
  </si>
  <si>
    <t>Rhythmic Structures and Applications in Music and Musopathy</t>
  </si>
  <si>
    <t>IK-513(3)</t>
  </si>
  <si>
    <t>Music and Musopathy Foundation</t>
  </si>
  <si>
    <t>IK-514(3)</t>
  </si>
  <si>
    <t>Introduction to Audio Engineering</t>
  </si>
  <si>
    <t>IK-515(3)</t>
  </si>
  <si>
    <t>Music and Cognition</t>
  </si>
  <si>
    <t>IK-530(3)</t>
  </si>
  <si>
    <t>Bhagavad-Gita Part I</t>
  </si>
  <si>
    <t>IK-535(3)</t>
  </si>
  <si>
    <t>Ancient Sanskrit Literature and Scriptures</t>
  </si>
  <si>
    <t>IK-536(3)</t>
  </si>
  <si>
    <t>Introduction to Vedanta Philosophy</t>
  </si>
  <si>
    <t>IK-538(3)</t>
  </si>
  <si>
    <t>Basic Sanskrit Grammar and Semantics</t>
  </si>
  <si>
    <t>IK-539(3)</t>
  </si>
  <si>
    <t>Sanskrit and Technology: An Overview</t>
  </si>
  <si>
    <t>IK-540(3)</t>
  </si>
  <si>
    <t>Bhagavad-Gita Part II</t>
  </si>
  <si>
    <t>IK-541(3)</t>
  </si>
  <si>
    <t xml:space="preserve">Upanishads and Vedanta Studies </t>
  </si>
  <si>
    <t>IK-542(3)</t>
  </si>
  <si>
    <t>Machine Learning for Sanskrit Text Analysis</t>
  </si>
  <si>
    <t>IK-547(3)</t>
  </si>
  <si>
    <t>Sanskrit Poetry and Drama</t>
  </si>
  <si>
    <t>IK-548(3)</t>
  </si>
  <si>
    <t>Advanced NLP Techniques for Indian Languages</t>
  </si>
  <si>
    <t>IK-551(3)</t>
  </si>
  <si>
    <t>Bhagavad-Gita Part III</t>
  </si>
  <si>
    <t>IK-552(3)</t>
  </si>
  <si>
    <t>Selected Topics in Ramayana</t>
  </si>
  <si>
    <t>IK-553(3)</t>
  </si>
  <si>
    <t>Panini Ashtadhyayi</t>
  </si>
  <si>
    <t>IK-554(3)</t>
  </si>
  <si>
    <t>Bhagwat Sankhya</t>
  </si>
  <si>
    <t>IK-555(3)</t>
  </si>
  <si>
    <t>Selected Topics in Mahabharata</t>
  </si>
  <si>
    <t>IK-556(3)</t>
  </si>
  <si>
    <t>Surya Siddhanta</t>
  </si>
  <si>
    <t>IK-557(3)</t>
  </si>
  <si>
    <t>The Study of Dharma</t>
  </si>
  <si>
    <t>IK-558(3)</t>
  </si>
  <si>
    <t>Hinduism, Yoga and Ecology</t>
  </si>
  <si>
    <t>IK-559(3)</t>
  </si>
  <si>
    <t>Three  Short Upanisads</t>
  </si>
  <si>
    <t>IK-560(3)</t>
  </si>
  <si>
    <t>Vaisnavism: History, Teachings and Practice</t>
  </si>
  <si>
    <t>IK-562(3)</t>
  </si>
  <si>
    <t>Research Methodology-Tantra Yukti and Pramana Sastra</t>
  </si>
  <si>
    <t>IK-566(3)</t>
  </si>
  <si>
    <t>Introduction to Vedic Traditions</t>
  </si>
  <si>
    <t>IK-567(3)</t>
  </si>
  <si>
    <t>"Soundaryasastra-Tala"</t>
  </si>
  <si>
    <t>IK-568(3)</t>
  </si>
  <si>
    <t>Indian Performing Arts</t>
  </si>
  <si>
    <t>IK-569(3)</t>
  </si>
  <si>
    <t>Mahabharat(Dharma Dasha Lakshanam)</t>
  </si>
  <si>
    <t>IK-570(3)</t>
  </si>
  <si>
    <t>NLP for Sanskrit: Introduction and Basics</t>
  </si>
  <si>
    <t>IK-572(3)</t>
  </si>
  <si>
    <t>Vedangas: The Limbs of the Vedas</t>
  </si>
  <si>
    <t>IK-573(3)</t>
  </si>
  <si>
    <t>Tapestry of Indian Knowledge Systems</t>
  </si>
  <si>
    <t>IK-592(2)</t>
  </si>
  <si>
    <t>Selected Topics in Music and Musopathy</t>
  </si>
  <si>
    <t>IK-609(3)</t>
  </si>
  <si>
    <t>Music and Musopathy Advanced</t>
  </si>
  <si>
    <t>MA-102(3)</t>
  </si>
  <si>
    <t>Mathematics II</t>
  </si>
  <si>
    <t>MA-210 (3)</t>
  </si>
  <si>
    <t>Real and Complex Analysis</t>
  </si>
  <si>
    <t>MA-211(4)</t>
  </si>
  <si>
    <t>Ordinary Differential Equations</t>
  </si>
  <si>
    <t>MA-460(3)</t>
  </si>
  <si>
    <t>Nonlinear Dynamics and Chaos</t>
  </si>
  <si>
    <t>MA-465(3)</t>
  </si>
  <si>
    <t>MA-510(3)</t>
  </si>
  <si>
    <t>Climate Change Analysis</t>
  </si>
  <si>
    <t>MA-511(4)</t>
  </si>
  <si>
    <t>Real and complex Analysis</t>
  </si>
  <si>
    <t>Real Analysis</t>
  </si>
  <si>
    <t>MA-512(4)</t>
  </si>
  <si>
    <t>MA-513(4)</t>
  </si>
  <si>
    <t>MA-514(3)</t>
  </si>
  <si>
    <t xml:space="preserve">Computer Programming   </t>
  </si>
  <si>
    <t>MA-514P(2)</t>
  </si>
  <si>
    <t>Computer Programming Lab</t>
  </si>
  <si>
    <t>MA-515(4)</t>
  </si>
  <si>
    <t>Applied Mathematical Programming</t>
  </si>
  <si>
    <t>MA 516(4)</t>
  </si>
  <si>
    <t>Topology</t>
  </si>
  <si>
    <t>MA-521(4)</t>
  </si>
  <si>
    <t>Functional Analysis</t>
  </si>
  <si>
    <t>MA-522(4)</t>
  </si>
  <si>
    <t>Partial Differential Equations</t>
  </si>
  <si>
    <t>MA-523(4)</t>
  </si>
  <si>
    <t>Numerical Analysis</t>
  </si>
  <si>
    <t>MA-524(4)</t>
  </si>
  <si>
    <t>MA 525(3)</t>
  </si>
  <si>
    <t>Heuristic Optimization</t>
  </si>
  <si>
    <t>MA-526(3)</t>
  </si>
  <si>
    <t>An Introduction to Wavelets</t>
  </si>
  <si>
    <t>MA-527(4)</t>
  </si>
  <si>
    <t xml:space="preserve">Field and Galois Theory </t>
  </si>
  <si>
    <t>MA-528 (4)</t>
  </si>
  <si>
    <t>Measure Theory and Integration</t>
  </si>
  <si>
    <t>MA-529(4)</t>
  </si>
  <si>
    <t>Statistical Inference</t>
  </si>
  <si>
    <t>MA-530(4)</t>
  </si>
  <si>
    <t>Graph Theory</t>
  </si>
  <si>
    <t>MA-549(3)</t>
  </si>
  <si>
    <t>Abstract Algebra</t>
  </si>
  <si>
    <t>MA-550(3)</t>
  </si>
  <si>
    <t>Statistical Data Analysis</t>
  </si>
  <si>
    <t>MA-551(3)</t>
  </si>
  <si>
    <t xml:space="preserve">Numerical Methods  </t>
  </si>
  <si>
    <t>MA-552(3)</t>
  </si>
  <si>
    <t>Number Theory</t>
  </si>
  <si>
    <t>MA-553(3)</t>
  </si>
  <si>
    <t>Mathematical Foundations of Financial Engineering</t>
  </si>
  <si>
    <t>MA-555(3)</t>
  </si>
  <si>
    <t>Introduction to Partial Differential Equation for Engineers</t>
  </si>
  <si>
    <t>MA 560(3)</t>
  </si>
  <si>
    <t>MA-565(3)</t>
  </si>
  <si>
    <t>Numerical Methods in Quantitative Finance</t>
  </si>
  <si>
    <t>MA-568(3)</t>
  </si>
  <si>
    <t>MA-570(3)</t>
  </si>
  <si>
    <t>Data-driven Dynamical Systems</t>
  </si>
  <si>
    <t>2.5-0-0.5-3</t>
  </si>
  <si>
    <t>MA-575(4)</t>
  </si>
  <si>
    <t>Complex Analysis</t>
  </si>
  <si>
    <t>MA 581P(10)</t>
  </si>
  <si>
    <t>MA 581P</t>
  </si>
  <si>
    <t>Post Graduate Project -I (Maths)</t>
  </si>
  <si>
    <t>MA 581P(9)</t>
  </si>
  <si>
    <t>MA 582P(14)</t>
  </si>
  <si>
    <t>MA 582P(12)</t>
  </si>
  <si>
    <t>MA 582P</t>
  </si>
  <si>
    <t>Post Graduate Project -II (Maths)</t>
  </si>
  <si>
    <t>MA-588(4)</t>
  </si>
  <si>
    <t>Mathematical Control Therory</t>
  </si>
  <si>
    <t>MA-600(1)</t>
  </si>
  <si>
    <t>MA-601(3)</t>
  </si>
  <si>
    <t>Real and Functional Analysis</t>
  </si>
  <si>
    <t>MA 603(3)</t>
  </si>
  <si>
    <t>Advanced Partial Differential Equations</t>
  </si>
  <si>
    <t>MA-605(3)</t>
  </si>
  <si>
    <t>MA-607(3)</t>
  </si>
  <si>
    <t>MA-608(3)</t>
  </si>
  <si>
    <t>Computational Fluid Dynamics</t>
  </si>
  <si>
    <t>MA-609(3)</t>
  </si>
  <si>
    <t>Numerics of Partial Differential Equations</t>
  </si>
  <si>
    <t>MA-610 (3)</t>
  </si>
  <si>
    <t>Mathematical Modeling</t>
  </si>
  <si>
    <t>MA-611 (4)</t>
  </si>
  <si>
    <t>Statistical tools and Computing</t>
  </si>
  <si>
    <t>MA 612 (4)</t>
  </si>
  <si>
    <t>Operator Theory</t>
  </si>
  <si>
    <t>MA 621(3)</t>
  </si>
  <si>
    <t>Modelling Population Dynamics</t>
  </si>
  <si>
    <t>MA-641(3)</t>
  </si>
  <si>
    <t>Operations Research</t>
  </si>
  <si>
    <t>MA-644(3)</t>
  </si>
  <si>
    <t>Dynamical Systems</t>
  </si>
  <si>
    <t>MA-650(3)</t>
  </si>
  <si>
    <t>Mathematical Models for Infectious Diseases</t>
  </si>
  <si>
    <t>MA-651(3)</t>
  </si>
  <si>
    <t>Optimization Techniques</t>
  </si>
  <si>
    <t>MA-653(3)</t>
  </si>
  <si>
    <t>Computational Financial Modelling</t>
  </si>
  <si>
    <t>MA-653P(1)</t>
  </si>
  <si>
    <t>Computational Financial Modelling Lab</t>
  </si>
  <si>
    <t>MA-654(3)</t>
  </si>
  <si>
    <t>Financial Engineering</t>
  </si>
  <si>
    <t>MA-655(3)</t>
  </si>
  <si>
    <t>Fixed Income Securities</t>
  </si>
  <si>
    <t>MA-656(3)</t>
  </si>
  <si>
    <t>Stochastic Calculus for Financial Engineering</t>
  </si>
  <si>
    <t>MA-704(3)</t>
  </si>
  <si>
    <t>Dynamical System</t>
  </si>
  <si>
    <t>MA-709(3)</t>
  </si>
  <si>
    <t>Numerical Linear Algebra</t>
  </si>
  <si>
    <t>MA-765(4)</t>
  </si>
  <si>
    <t>Fractional Differential Equations</t>
  </si>
  <si>
    <t>MA-780 (3)</t>
  </si>
  <si>
    <t>Topics in Semigroup Theory</t>
  </si>
  <si>
    <t>MB-201 (4)</t>
  </si>
  <si>
    <t>Foundations of Business Management</t>
  </si>
  <si>
    <t>MB-202(3)</t>
  </si>
  <si>
    <t>Microeconomics</t>
  </si>
  <si>
    <t>MB-509(2)</t>
  </si>
  <si>
    <t>Introduction to Bhagavad Gita</t>
  </si>
  <si>
    <t>MB-510 (2)</t>
  </si>
  <si>
    <t>Probability and Statistics for Data Science and AI</t>
  </si>
  <si>
    <t>MB-511(2)</t>
  </si>
  <si>
    <t>Python Programming</t>
  </si>
  <si>
    <t>MB-512(2)</t>
  </si>
  <si>
    <t xml:space="preserve">Mathematical Foundations for DS and AI </t>
  </si>
  <si>
    <t>MB-513(2)</t>
  </si>
  <si>
    <t>Principles of Management</t>
  </si>
  <si>
    <t>MB-514(2)</t>
  </si>
  <si>
    <t>Communication Skills for Managers</t>
  </si>
  <si>
    <t>MB-515(2)</t>
  </si>
  <si>
    <t>Financial Statements Analysis</t>
  </si>
  <si>
    <t>MB-516(2)</t>
  </si>
  <si>
    <t>Managerial Economics</t>
  </si>
  <si>
    <t>MB-517(2)</t>
  </si>
  <si>
    <t>Marketing Management</t>
  </si>
  <si>
    <t>MB-518(2)</t>
  </si>
  <si>
    <t>Decision analysis</t>
  </si>
  <si>
    <t>MB-519(2)</t>
  </si>
  <si>
    <t xml:space="preserve">Creative Thinking, Problem Solving and Decision Making </t>
  </si>
  <si>
    <t>MB-520(2)</t>
  </si>
  <si>
    <t>Fundamentals of Data and Analytics</t>
  </si>
  <si>
    <t>MB-521(2)</t>
  </si>
  <si>
    <t>Disruptive Technologies for Data Science</t>
  </si>
  <si>
    <t>MB-522(2)</t>
  </si>
  <si>
    <t>Machine Learning for Business</t>
  </si>
  <si>
    <t>MB-523(2)</t>
  </si>
  <si>
    <t>Introduction to AI and Automation</t>
  </si>
  <si>
    <t>MB-524(2)</t>
  </si>
  <si>
    <t>MB-525(2)</t>
  </si>
  <si>
    <t>Qualitative Research</t>
  </si>
  <si>
    <t>MB-526(2)</t>
  </si>
  <si>
    <t>Strategic Management</t>
  </si>
  <si>
    <t>MB-527(2)</t>
  </si>
  <si>
    <t>MB-528(2)</t>
  </si>
  <si>
    <t>Human Resource Management</t>
  </si>
  <si>
    <t>MB-530(2)</t>
  </si>
  <si>
    <t>Neural Networks fundaments for Business</t>
  </si>
  <si>
    <t>MB-531(2)</t>
  </si>
  <si>
    <t>Ethical and Legal Aspects of Business</t>
  </si>
  <si>
    <t>MB-532(2)</t>
  </si>
  <si>
    <t>Digital Business Strategy, Models and Transformations</t>
  </si>
  <si>
    <t>MB-533(2)</t>
  </si>
  <si>
    <t xml:space="preserve">Entrepreneurship </t>
  </si>
  <si>
    <t>MB-550(2)</t>
  </si>
  <si>
    <t>AI in Marketing</t>
  </si>
  <si>
    <t>MB-551(2)</t>
  </si>
  <si>
    <t>Causal Analytics</t>
  </si>
  <si>
    <t>MB-552(2)</t>
  </si>
  <si>
    <t>Financial Analytics</t>
  </si>
  <si>
    <t>MB-553(2)</t>
  </si>
  <si>
    <t>Fintech</t>
  </si>
  <si>
    <t>MB-554(2)</t>
  </si>
  <si>
    <t>Blockchain for Business</t>
  </si>
  <si>
    <t>MB-555(2)</t>
  </si>
  <si>
    <t>Deep Learning for Business Application</t>
  </si>
  <si>
    <t>MB-556(2)</t>
  </si>
  <si>
    <t>Natural Language Processing for Business</t>
  </si>
  <si>
    <t>MB-559(2)</t>
  </si>
  <si>
    <t>Fuzzy logic for business decision making</t>
  </si>
  <si>
    <t>MB-560(2)</t>
  </si>
  <si>
    <t>Evolutionary computation for business solutions</t>
  </si>
  <si>
    <t>MB-562(2)</t>
  </si>
  <si>
    <t>Operations Management</t>
  </si>
  <si>
    <t>MB-570(2)</t>
  </si>
  <si>
    <t>Product Management</t>
  </si>
  <si>
    <t>MB-572(2)</t>
  </si>
  <si>
    <t>Social Analytics </t>
  </si>
  <si>
    <t>MB-573(2)</t>
  </si>
  <si>
    <t>Cloud Computing For Business</t>
  </si>
  <si>
    <t>MB-574(2)</t>
  </si>
  <si>
    <t>Cyber Securities, Ethics and Privacy</t>
  </si>
  <si>
    <t>MB-579(2)</t>
  </si>
  <si>
    <t>Marketing Analytics</t>
  </si>
  <si>
    <t>MB-580(2)</t>
  </si>
  <si>
    <t>AI In Finance</t>
  </si>
  <si>
    <t>MB-581(2)</t>
  </si>
  <si>
    <t>Leadership lessons from Indian Knowledge Systems</t>
  </si>
  <si>
    <t>MB-582(2)</t>
  </si>
  <si>
    <t>Consumer Behavior</t>
  </si>
  <si>
    <t>MB-583(2)</t>
  </si>
  <si>
    <t>Digital marketing</t>
  </si>
  <si>
    <t>MB-584(2)</t>
  </si>
  <si>
    <t>Supply Chain Management</t>
  </si>
  <si>
    <t>MB-592(2)</t>
  </si>
  <si>
    <t>Management Science in Practice</t>
  </si>
  <si>
    <t>ME-100 (1)</t>
  </si>
  <si>
    <t>ME-204(3)</t>
  </si>
  <si>
    <t>Material Science for Engineers</t>
  </si>
  <si>
    <t>ME-205(3)</t>
  </si>
  <si>
    <t>Machine Drawing</t>
  </si>
  <si>
    <t>ME-206(3)</t>
  </si>
  <si>
    <t>Mechanics of Solids</t>
  </si>
  <si>
    <t>ME-210(3)</t>
  </si>
  <si>
    <t>Fluid Mechanics</t>
  </si>
  <si>
    <t>ME-210P (1)</t>
  </si>
  <si>
    <t>Thermo-Fluids Lab</t>
  </si>
  <si>
    <t>ME-210P(1)</t>
  </si>
  <si>
    <t>Fluid Mechanics lab</t>
  </si>
  <si>
    <t>ME-212(3)</t>
  </si>
  <si>
    <t>Product Manufacturing Technology</t>
  </si>
  <si>
    <t>2-0-3-3</t>
  </si>
  <si>
    <t>ME-213(4)</t>
  </si>
  <si>
    <t>ME-215(3)</t>
  </si>
  <si>
    <t>Manufacturing Engineering -1</t>
  </si>
  <si>
    <t>ME-303(3)</t>
  </si>
  <si>
    <t>Heat Transfer</t>
  </si>
  <si>
    <t>ME-303P</t>
  </si>
  <si>
    <t>Heat Transfer Lab</t>
  </si>
  <si>
    <t>0-0-3-1</t>
  </si>
  <si>
    <t>ME-304(4)</t>
  </si>
  <si>
    <t>Principles of Energy Conversion</t>
  </si>
  <si>
    <t>ME-305(4)</t>
  </si>
  <si>
    <t>Design of Machine Elements</t>
  </si>
  <si>
    <t>ME-307(3)</t>
  </si>
  <si>
    <t>Energy Conversion Devices</t>
  </si>
  <si>
    <t>ME-308(3)</t>
  </si>
  <si>
    <t>Manufacturing Engineering</t>
  </si>
  <si>
    <t>ME-309(4)</t>
  </si>
  <si>
    <t xml:space="preserve">Theory of Machines  </t>
  </si>
  <si>
    <t>ME-309P(1)</t>
  </si>
  <si>
    <t>Theory of Machines Lab.</t>
  </si>
  <si>
    <t>ME 310(3)</t>
  </si>
  <si>
    <t>System Dynamics and Controls</t>
  </si>
  <si>
    <t>ME-310P(2)</t>
  </si>
  <si>
    <t>Thermo-Fluids Laboratory</t>
  </si>
  <si>
    <t>ME-311P(1)</t>
  </si>
  <si>
    <t>Design Lab – I</t>
  </si>
  <si>
    <t>ME-312P(1)</t>
  </si>
  <si>
    <t>Design Lab -II</t>
  </si>
  <si>
    <t>ME-315(3)</t>
  </si>
  <si>
    <t>Manufacturing Engineering -2</t>
  </si>
  <si>
    <t>ME-316(3)</t>
  </si>
  <si>
    <t>Automative Engine Design</t>
  </si>
  <si>
    <t>ME-351(3)</t>
  </si>
  <si>
    <t>Management of Manufacturing and Logistics Systems (NKN)</t>
  </si>
  <si>
    <t>ME-352(3)</t>
  </si>
  <si>
    <t>Finite Element Methods in Engg.</t>
  </si>
  <si>
    <t>ME-353(3)</t>
  </si>
  <si>
    <t>Electronic Materials and Their Applications</t>
  </si>
  <si>
    <t>ME-355(3)</t>
  </si>
  <si>
    <t>Internal Combustion Engines</t>
  </si>
  <si>
    <t>ME-356(4)</t>
  </si>
  <si>
    <t>ME-451(3)</t>
  </si>
  <si>
    <t>Refrigeration and Air Conditioning</t>
  </si>
  <si>
    <t>ME-452(3)</t>
  </si>
  <si>
    <t>Robotics and control</t>
  </si>
  <si>
    <t>ME-501(3)</t>
  </si>
  <si>
    <t>Materials Science for Failure Analysis</t>
  </si>
  <si>
    <t>Nanomanufacturing</t>
  </si>
  <si>
    <t>ME 501P (3)</t>
  </si>
  <si>
    <t>Practicum – I (M.Tech FTE)</t>
  </si>
  <si>
    <t>ME-502(3)</t>
  </si>
  <si>
    <t>Functional Materials</t>
  </si>
  <si>
    <t>ME-504(3)</t>
  </si>
  <si>
    <t>Numerical Methods for Engineering Computation</t>
  </si>
  <si>
    <t>ME-505(3)</t>
  </si>
  <si>
    <t>Applied Finite Element Method</t>
  </si>
  <si>
    <t>ME-506(3)</t>
  </si>
  <si>
    <t>Fundamentals of Fracture Mechanics</t>
  </si>
  <si>
    <t>ME-507(3)</t>
  </si>
  <si>
    <t>Micro and Nanoscale Fluid Mechaincs</t>
  </si>
  <si>
    <t>ME-509(3)</t>
  </si>
  <si>
    <t>ME 510(3)</t>
  </si>
  <si>
    <t>Advanced Manufacturing Processes</t>
  </si>
  <si>
    <t>ME-511(3)</t>
  </si>
  <si>
    <t>Manufacturing of Composites</t>
  </si>
  <si>
    <t>ME 513(4)</t>
  </si>
  <si>
    <t>Finite Element Methods in Engineering</t>
  </si>
  <si>
    <t>ME 514(3)</t>
  </si>
  <si>
    <t>Fundamentals of Multiphase Flow</t>
  </si>
  <si>
    <t>ME 515 (3)</t>
  </si>
  <si>
    <t>Carbon Materials and Technology</t>
  </si>
  <si>
    <t>ME 516(3)</t>
  </si>
  <si>
    <t>Polymer Technology for Engineers</t>
  </si>
  <si>
    <t>ME 517(4)</t>
  </si>
  <si>
    <t>Advanced Analytical Techniques for Engineers</t>
  </si>
  <si>
    <t>ME 518(3)</t>
  </si>
  <si>
    <t>Conduction and Radiation</t>
  </si>
  <si>
    <t>ME 519(2)</t>
  </si>
  <si>
    <t>Technical Communication for Engineers</t>
  </si>
  <si>
    <t>0-2-0-2</t>
  </si>
  <si>
    <t>ME 520 (3)</t>
  </si>
  <si>
    <t>Microwave based Manufacturing Processes</t>
  </si>
  <si>
    <t>ME 521(3)</t>
  </si>
  <si>
    <t>Vehicle Design and Dynamics</t>
  </si>
  <si>
    <t>ME-522(3)</t>
  </si>
  <si>
    <t>High-Performance Scientific Computing</t>
  </si>
  <si>
    <t>ME-523(3)</t>
  </si>
  <si>
    <t>Product Design</t>
  </si>
  <si>
    <t>ME-524(3)</t>
  </si>
  <si>
    <t>Additive Manufacturing</t>
  </si>
  <si>
    <t>ME-526(3)</t>
  </si>
  <si>
    <t xml:space="preserve">Programming Paradigm for Open-source Codes </t>
  </si>
  <si>
    <t>ME-527(3)</t>
  </si>
  <si>
    <t>Biofluid Dynamics</t>
  </si>
  <si>
    <t>ME-591(1)</t>
  </si>
  <si>
    <t>Special Topics in Experimental methods of Fluid and Thermal Sciences</t>
  </si>
  <si>
    <t>Multidisciplinary Design Optimization</t>
  </si>
  <si>
    <t>Selected topics in Renewable Energy</t>
  </si>
  <si>
    <t>ME-591-02</t>
  </si>
  <si>
    <t>Thermodynamics of Combustion</t>
  </si>
  <si>
    <t>ME-592(2)</t>
  </si>
  <si>
    <t>Principles of Flight</t>
  </si>
  <si>
    <t>Biodesign Innovation</t>
  </si>
  <si>
    <t>ME-5992(1)</t>
  </si>
  <si>
    <t>Selected Topics in Combustion</t>
  </si>
  <si>
    <t>ME-599(1)</t>
  </si>
  <si>
    <t>Integrated Navigation of Flight Vehicles</t>
  </si>
  <si>
    <t>ME 598P (16)</t>
  </si>
  <si>
    <t>Post Graduate Project - I (FTE)</t>
  </si>
  <si>
    <t>ME 599P (16)</t>
  </si>
  <si>
    <t>Post Graduate Project -II (FTE)</t>
  </si>
  <si>
    <t>ME-600(1)</t>
  </si>
  <si>
    <t>ME-601(3)</t>
  </si>
  <si>
    <t>Finite Element Method</t>
  </si>
  <si>
    <t>Advanced Finite Element Methods</t>
  </si>
  <si>
    <t>ME-602(3)</t>
  </si>
  <si>
    <t>Mechanical Vibration</t>
  </si>
  <si>
    <t>ME-603(3)</t>
  </si>
  <si>
    <t>Advanced Fluid Mechanics</t>
  </si>
  <si>
    <t>ME-604(3)</t>
  </si>
  <si>
    <t>Experimental Methods in Thermal Engineering</t>
  </si>
  <si>
    <t>ME-605(3)</t>
  </si>
  <si>
    <t>Air Conditioning and Ventilation</t>
  </si>
  <si>
    <t>ME-606(3)</t>
  </si>
  <si>
    <t>Advanced Solid Mechanics</t>
  </si>
  <si>
    <t>ME-607(3)</t>
  </si>
  <si>
    <t>ME-609(3)</t>
  </si>
  <si>
    <t>ME-610(4)</t>
  </si>
  <si>
    <t>Advanced Thermodynamics</t>
  </si>
  <si>
    <t>ME-611(3)</t>
  </si>
  <si>
    <t>Design and Optimization of Thermal Systems</t>
  </si>
  <si>
    <t>ME-613(3)</t>
  </si>
  <si>
    <t>Thermal Radiation</t>
  </si>
  <si>
    <t>ME-614(3)</t>
  </si>
  <si>
    <t>Compressible Flow and Gas Dynamics</t>
  </si>
  <si>
    <t>ME-615(3)</t>
  </si>
  <si>
    <t>Applied Computational Fluid Dynamics</t>
  </si>
  <si>
    <t>ME-616(3)</t>
  </si>
  <si>
    <t>Convective Heat  and mass Transfer</t>
  </si>
  <si>
    <t>ME-617(3)</t>
  </si>
  <si>
    <t>Mechanics of Composite Materials</t>
  </si>
  <si>
    <t>ME-618(3)</t>
  </si>
  <si>
    <t>Stealth Technology:Infrared Signatures</t>
  </si>
  <si>
    <t>ME-619(3)</t>
  </si>
  <si>
    <t>Experiments in Materials Science</t>
  </si>
  <si>
    <t>ME-620(3)</t>
  </si>
  <si>
    <t>Modelling and Simulations</t>
  </si>
  <si>
    <t>ME-621(3)</t>
  </si>
  <si>
    <t>Aircraft Propulsion</t>
  </si>
  <si>
    <t>ME-622(3)</t>
  </si>
  <si>
    <t>Biomechanics of Musculoskeletal System</t>
  </si>
  <si>
    <t>ME-625(3)</t>
  </si>
  <si>
    <t>Introduction to Turbulence and its Modelling</t>
  </si>
  <si>
    <t>ME-626(3)</t>
  </si>
  <si>
    <t>Acoustics</t>
  </si>
  <si>
    <t>ME 627(3)</t>
  </si>
  <si>
    <t>Mesh Independent Computational Techniques</t>
  </si>
  <si>
    <t>ME 628(3)</t>
  </si>
  <si>
    <t>Impact Mechanics</t>
  </si>
  <si>
    <t>ME-630(3)</t>
  </si>
  <si>
    <t>Machine Learning for Engineers</t>
  </si>
  <si>
    <t>ME-631(3)</t>
  </si>
  <si>
    <t>Heat Transfer and Fluid flow in Energy Systems</t>
  </si>
  <si>
    <t>ME-632(3)</t>
  </si>
  <si>
    <t>Mechanics for Energy Systems</t>
  </si>
  <si>
    <t>ME-633(3)</t>
  </si>
  <si>
    <t>Design of Energy Systems</t>
  </si>
  <si>
    <t>ME-634(3)</t>
  </si>
  <si>
    <t>Thermodynamics of Energy Systems</t>
  </si>
  <si>
    <t>ME-635(3)</t>
  </si>
  <si>
    <t>Manufacturing for energy Systems</t>
  </si>
  <si>
    <t>ME-636(3)</t>
  </si>
  <si>
    <t>Combustion Technology</t>
  </si>
  <si>
    <t>ME-637(3)</t>
  </si>
  <si>
    <t>Wind Power Plant</t>
  </si>
  <si>
    <t>ME-638(3)</t>
  </si>
  <si>
    <t>Solar Thermal Power Plant</t>
  </si>
  <si>
    <t>ME-639(3)</t>
  </si>
  <si>
    <t>Thermal Power Plant Engineering</t>
  </si>
  <si>
    <t>ME-640(3)</t>
  </si>
  <si>
    <t>Solar Power Utilization</t>
  </si>
  <si>
    <t>ME-641(3)</t>
  </si>
  <si>
    <t>ME 695P(2)</t>
  </si>
  <si>
    <t>Post Graduate Project -I (MEE)</t>
  </si>
  <si>
    <t>ME 696P(14)</t>
  </si>
  <si>
    <t>Post Graduate Project -II (EEM)(MEE)</t>
  </si>
  <si>
    <t>ME 697P(16)</t>
  </si>
  <si>
    <t>Post Graduate Project -III (EEM)(MEE)</t>
  </si>
  <si>
    <t>ME 698P(14)</t>
  </si>
  <si>
    <t>Post Graduate Project -I (MES)</t>
  </si>
  <si>
    <t>ME 699P(18)</t>
  </si>
  <si>
    <t>Post Graduate Project -II (MES)</t>
  </si>
  <si>
    <t>MT-201(3)</t>
  </si>
  <si>
    <t>Physics of Solids</t>
  </si>
  <si>
    <t>MT-202(3)</t>
  </si>
  <si>
    <t>Applied Quantum Mechanics</t>
  </si>
  <si>
    <t>MT-203(4)</t>
  </si>
  <si>
    <t>Materials Synthesis and Characterization</t>
  </si>
  <si>
    <t>MT-204(3)</t>
  </si>
  <si>
    <t>Thermodynamics and Kinetics of Materials</t>
  </si>
  <si>
    <t>MT-205(4)</t>
  </si>
  <si>
    <t>Functional Properties of Materials</t>
  </si>
  <si>
    <t>MT-206(4)</t>
  </si>
  <si>
    <t>Extraction and Materials Processing</t>
  </si>
  <si>
    <t>MT-301(3)</t>
  </si>
  <si>
    <t>Phase Transformation</t>
  </si>
  <si>
    <t>MT-302(3)</t>
  </si>
  <si>
    <t>Transport Phenomena</t>
  </si>
  <si>
    <t>MT-303(4)</t>
  </si>
  <si>
    <t>Computational Materials Science</t>
  </si>
  <si>
    <t>MT-304(4)</t>
  </si>
  <si>
    <t>Mechanical Behaviour of Materials</t>
  </si>
  <si>
    <t>MT-501(3)</t>
  </si>
  <si>
    <t>Energy Conversion and Storage Technologies</t>
  </si>
  <si>
    <t>MT-502(3)</t>
  </si>
  <si>
    <t>Recycling and Circular Economy</t>
  </si>
  <si>
    <t>MT-503(3)</t>
  </si>
  <si>
    <t>Semiconductor Materials and Devices</t>
  </si>
  <si>
    <t>MT-504(3)</t>
  </si>
  <si>
    <t>Powder Metallurgical Processing of Materials</t>
  </si>
  <si>
    <t>MT-505(3)</t>
  </si>
  <si>
    <t>Thin Film Technology</t>
  </si>
  <si>
    <t>MT-506(3)</t>
  </si>
  <si>
    <t>MT-507(3)</t>
  </si>
  <si>
    <t>Modelling and Simulations in materials science</t>
  </si>
  <si>
    <t>MT-508(3)</t>
  </si>
  <si>
    <t>Iron and Steel Making</t>
  </si>
  <si>
    <t>MT-509(3)</t>
  </si>
  <si>
    <t>Hydrogen Energy</t>
  </si>
  <si>
    <t>MT-510(3)</t>
  </si>
  <si>
    <t>Colloids and Interfaces</t>
  </si>
  <si>
    <t>MT-511(3)</t>
  </si>
  <si>
    <t>Sensor Materials and Technologies</t>
  </si>
  <si>
    <t>PH-102P(1)</t>
  </si>
  <si>
    <t>Physics Lab</t>
  </si>
  <si>
    <t>PH-301(3)</t>
  </si>
  <si>
    <t>Quantum Mechanics and applications</t>
  </si>
  <si>
    <t>PH-302(3)</t>
  </si>
  <si>
    <t>Introduction to Statistical Mechanics</t>
  </si>
  <si>
    <t>2.5-0.5-0-4</t>
  </si>
  <si>
    <t>PH-501(3)</t>
  </si>
  <si>
    <t>Solid State Physics</t>
  </si>
  <si>
    <t>PH-502(3)</t>
  </si>
  <si>
    <t>Photonics</t>
  </si>
  <si>
    <t>PH-503(3)</t>
  </si>
  <si>
    <t>Laser and Applications</t>
  </si>
  <si>
    <t>PH-504(3)</t>
  </si>
  <si>
    <t>Organic Optoelectronics</t>
  </si>
  <si>
    <t>PH-505(3)</t>
  </si>
  <si>
    <t>Electronic Structure</t>
  </si>
  <si>
    <t>PH-506(3)</t>
  </si>
  <si>
    <t>Physics Project</t>
  </si>
  <si>
    <t>PH-507(3)</t>
  </si>
  <si>
    <t>X-rays as a probe to study material properties</t>
  </si>
  <si>
    <t>PH-508(3)</t>
  </si>
  <si>
    <t>Magnetism and Magnetic Materials</t>
  </si>
  <si>
    <t>PH-511(4)</t>
  </si>
  <si>
    <t>Mathematical Physics</t>
  </si>
  <si>
    <t>PH-512(4)</t>
  </si>
  <si>
    <t>Classical Mechanics</t>
  </si>
  <si>
    <t>PH-513(3)</t>
  </si>
  <si>
    <t>Quantum Mechanics</t>
  </si>
  <si>
    <t>PH-513(4)</t>
  </si>
  <si>
    <t>Quantum Mechanics 1</t>
  </si>
  <si>
    <t>PH-514(3)</t>
  </si>
  <si>
    <t>Electronics</t>
  </si>
  <si>
    <t>PH-514(4)</t>
  </si>
  <si>
    <t xml:space="preserve">Electronics  </t>
  </si>
  <si>
    <t>PH-515P(3)</t>
  </si>
  <si>
    <t>Physics Laboratory</t>
  </si>
  <si>
    <t>0-0-5-3</t>
  </si>
  <si>
    <t>PH-516(2)</t>
  </si>
  <si>
    <t>Research Project I</t>
  </si>
  <si>
    <t>PH-517(4)</t>
  </si>
  <si>
    <t>Research Project II</t>
  </si>
  <si>
    <t>PH 518P(3)</t>
  </si>
  <si>
    <t>PH 519P(8)</t>
  </si>
  <si>
    <t>Post Graduate Project – II</t>
  </si>
  <si>
    <t>PH-521(4)</t>
  </si>
  <si>
    <t>Electromagnetic Theory</t>
  </si>
  <si>
    <t>PH-522(4)</t>
  </si>
  <si>
    <t>Statistical Mechanics</t>
  </si>
  <si>
    <t>PH-523(3)</t>
  </si>
  <si>
    <t>Condensed Matter Physics</t>
  </si>
  <si>
    <t>PH-523(4)</t>
  </si>
  <si>
    <t>PH-524(4)</t>
  </si>
  <si>
    <t>Atomic and Molecular Spectroscopy</t>
  </si>
  <si>
    <t>PH-524(3)</t>
  </si>
  <si>
    <t>Atomic and Molecular Physics</t>
  </si>
  <si>
    <t>PH-525P(3)</t>
  </si>
  <si>
    <t>Electronics Laboratory Practicum</t>
  </si>
  <si>
    <t>PH-526(1)</t>
  </si>
  <si>
    <t>PH-526(3)</t>
  </si>
  <si>
    <t>Research Project III</t>
  </si>
  <si>
    <t>PH-527(2)</t>
  </si>
  <si>
    <t>Vacation Project I</t>
  </si>
  <si>
    <t>PH-527(3)</t>
  </si>
  <si>
    <t>Research Project IV</t>
  </si>
  <si>
    <t>PH-528 (3)</t>
  </si>
  <si>
    <t>Introduction to General Relativity</t>
  </si>
  <si>
    <t>PH-530 (3)</t>
  </si>
  <si>
    <t>Cosmology – I</t>
  </si>
  <si>
    <t>PH-550(3)</t>
  </si>
  <si>
    <t>Introduction to Quantum Optics</t>
  </si>
  <si>
    <t>PH-579(3)</t>
  </si>
  <si>
    <t>Quantum Computation and Information</t>
  </si>
  <si>
    <t>PH-600(1)</t>
  </si>
  <si>
    <t>PH-601(3)</t>
  </si>
  <si>
    <t>Mesoscopic Physics and Quantum Transport</t>
  </si>
  <si>
    <t>PH-603(3)</t>
  </si>
  <si>
    <t>Advanced Condensed Matter Physics</t>
  </si>
  <si>
    <t>PH-604(3)</t>
  </si>
  <si>
    <t>Optical Properties of Solids</t>
  </si>
  <si>
    <t>PH 605(3)</t>
  </si>
  <si>
    <t>Superconductivity</t>
  </si>
  <si>
    <t>PH-606(3)</t>
  </si>
  <si>
    <t>Quantum Field Theory</t>
  </si>
  <si>
    <t>PH-607(3)</t>
  </si>
  <si>
    <t>Physics of Ultracold Quantum Gases</t>
  </si>
  <si>
    <t>PH-608(3)</t>
  </si>
  <si>
    <t>Computer assisted quantum mechanics</t>
  </si>
  <si>
    <t>PH-609(3)</t>
  </si>
  <si>
    <t>Theory of quantum collision and spectroscopy</t>
  </si>
  <si>
    <t>PH-611(4)</t>
  </si>
  <si>
    <t>Nuclear and Particle Physics</t>
  </si>
  <si>
    <t>PH-611P(4)</t>
  </si>
  <si>
    <t>Experimental Research Techniques</t>
  </si>
  <si>
    <t>0-0-7-4</t>
  </si>
  <si>
    <t>PH-612(4)</t>
  </si>
  <si>
    <t>Numerical and Computational Methods</t>
  </si>
  <si>
    <t>PH-612(3)</t>
  </si>
  <si>
    <t>PH-613(4)</t>
  </si>
  <si>
    <t>Quantum Mechanics II</t>
  </si>
  <si>
    <t>PH-613(3)</t>
  </si>
  <si>
    <t>Special Topics in  Quantum Mechanics</t>
  </si>
  <si>
    <t>PH-614(2)</t>
  </si>
  <si>
    <t>Seminar and Report</t>
  </si>
  <si>
    <t>PH-614P(4)</t>
  </si>
  <si>
    <t>PH-615P(3)</t>
  </si>
  <si>
    <t>Mini-thesis I  (PHYSICS)</t>
  </si>
  <si>
    <t>PH-617(2)</t>
  </si>
  <si>
    <t>Vacation Project II</t>
  </si>
  <si>
    <t>PH-621(4)</t>
  </si>
  <si>
    <t>Computational Methods for Physicists</t>
  </si>
  <si>
    <t>2-0-4-4</t>
  </si>
  <si>
    <t>PH-622(3)</t>
  </si>
  <si>
    <t>Mini-thesis II (PHYSICS)</t>
  </si>
  <si>
    <t>PH-622(8)</t>
  </si>
  <si>
    <t>PH-625(4)</t>
  </si>
  <si>
    <t>Data Analysis in Particle Physics</t>
  </si>
  <si>
    <t>PH-626(3)</t>
  </si>
  <si>
    <t>Elementary Theoretical Particle Physics</t>
  </si>
  <si>
    <t>PH-627(3)</t>
  </si>
  <si>
    <t>Topological Quantum Matter</t>
  </si>
  <si>
    <t>PH-701(4)</t>
  </si>
  <si>
    <t>Introduction to Molecular Simulations</t>
  </si>
  <si>
    <t>2-2-0-4</t>
  </si>
  <si>
    <t>PH-702(3)</t>
  </si>
  <si>
    <t>Advanced Quantum Mechanics</t>
  </si>
  <si>
    <t>PH-705(4)</t>
  </si>
  <si>
    <t>Foundations in Experimental Physics</t>
  </si>
  <si>
    <t>PH-706(3)</t>
  </si>
  <si>
    <t>Introduction to Stochastic Problems in Physics</t>
  </si>
  <si>
    <t>QS-501P(3)</t>
  </si>
  <si>
    <t>Experiments in Quantum Optics</t>
  </si>
  <si>
    <t>RM-510(1)</t>
  </si>
  <si>
    <t>RM-600(1)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</si>
</sst>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General"/>
  </numFmts>
  <fonts count="17">
    <font>
      <sz val="11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Times New Roman"/>
    </font>
    <font>
      <sz val="11.0"/>
      <color rgb="FF222222"/>
      <name val="Times New Roman"/>
    </font>
    <font>
      <sz val="12.0"/>
      <color rgb="FF000000"/>
      <name val="Times New Roman"/>
    </font>
    <font>
      <sz val="12.0"/>
      <color theme="1"/>
      <name val="Times New Roman"/>
    </font>
    <font>
      <sz val="11.0"/>
      <color rgb="FFFF0000"/>
      <name val="Times New Roman"/>
    </font>
    <font>
      <sz val="11.0"/>
      <color rgb="FFFF0000"/>
      <name val="Calibri"/>
    </font>
    <font>
      <sz val="10.0"/>
      <color theme="1"/>
      <name val="Times New Roman"/>
    </font>
    <font>
      <sz val="11.0"/>
      <color rgb="FF000000"/>
      <name val="Times New Roman"/>
    </font>
    <font>
      <i/>
      <sz val="11.0"/>
      <color theme="1"/>
      <name val="Times New Roman"/>
    </font>
    <font>
      <b/>
      <sz val="11.0"/>
      <color theme="1"/>
      <name val="Times New Roman"/>
    </font>
    <font>
      <sz val="12.0"/>
      <color rgb="FFFF0000"/>
      <name val="Times New Roman"/>
    </font>
    <font>
      <sz val="11.0"/>
      <color theme="1"/>
      <name val="Arial"/>
    </font>
    <font>
      <u/>
      <sz val="11.0"/>
      <color theme="1"/>
      <name val="Times New Roman"/>
    </font>
    <font>
      <sz val="10.0"/>
      <color rgb="FF000000"/>
      <name val="Times New Roman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top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vertical="top"/>
    </xf>
    <xf borderId="1" fillId="0" fontId="2" numFmtId="0" xfId="0" applyAlignment="1" applyBorder="1" applyFont="1">
      <alignment horizontal="left" vertical="top"/>
    </xf>
    <xf borderId="1" fillId="0" fontId="3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vertical="top"/>
    </xf>
    <xf borderId="1" fillId="0" fontId="3" numFmtId="164" xfId="0" applyAlignment="1" applyBorder="1" applyFont="1" applyNumberFormat="1">
      <alignment horizontal="left" readingOrder="0" vertical="top"/>
    </xf>
    <xf borderId="1" fillId="0" fontId="7" numFmtId="164" xfId="0" applyAlignment="1" applyBorder="1" applyFont="1" applyNumberFormat="1">
      <alignment horizontal="left" shrinkToFit="0" vertical="top" wrapText="1"/>
    </xf>
    <xf borderId="1" fillId="0" fontId="7" numFmtId="164" xfId="0" applyAlignment="1" applyBorder="1" applyFont="1" applyNumberFormat="1">
      <alignment horizontal="left" readingOrder="0" shrinkToFit="0" vertical="top" wrapText="1"/>
    </xf>
    <xf borderId="1" fillId="0" fontId="8" numFmtId="0" xfId="0" applyAlignment="1" applyBorder="1" applyFont="1">
      <alignment horizontal="left" vertical="top"/>
    </xf>
    <xf borderId="1" fillId="0" fontId="9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vertical="top"/>
    </xf>
    <xf borderId="1" fillId="0" fontId="12" numFmtId="164" xfId="0" applyAlignment="1" applyBorder="1" applyFont="1" applyNumberFormat="1">
      <alignment horizontal="left" vertical="top"/>
    </xf>
    <xf borderId="1" fillId="0" fontId="12" numFmtId="164" xfId="0" applyAlignment="1" applyBorder="1" applyFont="1" applyNumberFormat="1">
      <alignment horizontal="left" shrinkToFit="0" vertical="top" wrapText="1"/>
    </xf>
    <xf borderId="1" fillId="0" fontId="12" numFmtId="164" xfId="0" applyAlignment="1" applyBorder="1" applyFont="1" applyNumberFormat="1">
      <alignment horizontal="left" readingOrder="0" vertical="top"/>
    </xf>
    <xf borderId="1" fillId="0" fontId="10" numFmtId="0" xfId="0" applyAlignment="1" applyBorder="1" applyFont="1">
      <alignment horizontal="left" readingOrder="0" vertical="top"/>
    </xf>
    <xf borderId="1" fillId="0" fontId="10" numFmtId="0" xfId="0" applyAlignment="1" applyBorder="1" applyFont="1">
      <alignment horizontal="left" vertical="top"/>
    </xf>
    <xf borderId="1" fillId="0" fontId="6" numFmtId="0" xfId="0" applyAlignment="1" applyBorder="1" applyFont="1">
      <alignment horizontal="left" readingOrder="0" vertical="top"/>
    </xf>
    <xf borderId="1" fillId="0" fontId="12" numFmtId="164" xfId="0" applyAlignment="1" applyBorder="1" applyFont="1" applyNumberForma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4" xfId="0" applyAlignment="1" applyBorder="1" applyFont="1" applyNumberFormat="1">
      <alignment horizontal="left" vertical="top"/>
    </xf>
    <xf borderId="1" fillId="0" fontId="7" numFmtId="0" xfId="0" applyAlignment="1" applyBorder="1" applyFont="1">
      <alignment horizontal="left" readingOrder="0" vertical="top"/>
    </xf>
    <xf borderId="1" fillId="0" fontId="7" numFmtId="0" xfId="0" applyAlignment="1" applyBorder="1" applyFont="1">
      <alignment horizontal="left" vertical="top"/>
    </xf>
    <xf borderId="1" fillId="0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15" numFmtId="164" xfId="0" applyAlignment="1" applyBorder="1" applyFont="1" applyNumberFormat="1">
      <alignment horizontal="left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1" fillId="0" fontId="13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7" numFmtId="164" xfId="0" applyAlignment="1" applyBorder="1" applyFont="1" applyNumberFormat="1">
      <alignment horizontal="left"/>
    </xf>
    <xf borderId="1" fillId="0" fontId="7" numFmtId="0" xfId="0" applyAlignment="1" applyBorder="1" applyFont="1">
      <alignment horizontal="left"/>
    </xf>
    <xf borderId="1" fillId="0" fontId="3" numFmtId="164" xfId="0" applyAlignment="1" applyBorder="1" applyFont="1" applyNumberFormat="1">
      <alignment horizontal="left"/>
    </xf>
    <xf borderId="1" fillId="0" fontId="3" numFmtId="0" xfId="0" applyAlignment="1" applyBorder="1" applyFont="1">
      <alignment horizontal="left"/>
    </xf>
    <xf borderId="1" fillId="0" fontId="7" numFmtId="164" xfId="0" applyAlignment="1" applyBorder="1" applyFont="1" applyNumberFormat="1">
      <alignment horizontal="left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13"/>
    <col customWidth="1" min="2" max="3" width="18.25"/>
    <col customWidth="1" min="4" max="4" width="44.63"/>
    <col customWidth="1" min="5" max="5" width="31.0"/>
    <col customWidth="1" min="6" max="6" width="23.88"/>
    <col customWidth="1" min="7" max="12" width="9.13"/>
    <col customWidth="1" min="13" max="27" width="14.38"/>
  </cols>
  <sheetData>
    <row r="1" ht="35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4" t="s">
        <v>7</v>
      </c>
      <c r="I1" s="1"/>
      <c r="J1" s="1"/>
      <c r="K1" s="1"/>
      <c r="L1" s="1"/>
    </row>
    <row r="2" ht="35.25" customHeight="1">
      <c r="A2" s="5">
        <v>1.0</v>
      </c>
      <c r="B2" s="6" t="s">
        <v>8</v>
      </c>
      <c r="C2" s="6" t="str">
        <f>IFERROR(__xludf.DUMMYFUNCTION("REGEXEXTRACT(B2, ""^[A-Z0-9-]+"")"),"AR-501")</f>
        <v>AR-501</v>
      </c>
      <c r="D2" s="6" t="s">
        <v>9</v>
      </c>
      <c r="E2" s="7" t="s">
        <v>10</v>
      </c>
      <c r="F2" s="6" t="s">
        <v>11</v>
      </c>
      <c r="G2" s="8" t="s">
        <v>12</v>
      </c>
      <c r="H2" s="5" t="str">
        <f>IFERROR(__xludf.DUMMYFUNCTION("REGEXEXTRACT(B2, ""\((\d+)\)"")"),"4")</f>
        <v>4</v>
      </c>
      <c r="I2" s="5"/>
      <c r="J2" s="5"/>
      <c r="K2" s="5"/>
      <c r="L2" s="5"/>
    </row>
    <row r="3" ht="35.25" customHeight="1">
      <c r="A3" s="5">
        <v>2.0</v>
      </c>
      <c r="B3" s="6" t="s">
        <v>13</v>
      </c>
      <c r="C3" s="6" t="str">
        <f>IFERROR(__xludf.DUMMYFUNCTION("REGEXEXTRACT(B3, ""^[A-Z0-9-]+"")"),"AR-502")</f>
        <v>AR-502</v>
      </c>
      <c r="D3" s="6" t="s">
        <v>14</v>
      </c>
      <c r="E3" s="7" t="s">
        <v>10</v>
      </c>
      <c r="F3" s="6" t="s">
        <v>15</v>
      </c>
      <c r="G3" s="8" t="s">
        <v>16</v>
      </c>
      <c r="H3" s="5" t="str">
        <f>IFERROR(__xludf.DUMMYFUNCTION("REGEXEXTRACT(B3, ""\((\d+)\)"")"),"4")</f>
        <v>4</v>
      </c>
      <c r="I3" s="5"/>
      <c r="J3" s="5"/>
      <c r="K3" s="5"/>
      <c r="L3" s="5"/>
    </row>
    <row r="4" ht="35.25" customHeight="1">
      <c r="A4" s="5">
        <v>3.0</v>
      </c>
      <c r="B4" s="6" t="s">
        <v>17</v>
      </c>
      <c r="C4" s="6" t="str">
        <f>IFERROR(__xludf.DUMMYFUNCTION("REGEXEXTRACT(B4, ""^[A-Z0-9-]+"")"),"AR-503")</f>
        <v>AR-503</v>
      </c>
      <c r="D4" s="6" t="s">
        <v>18</v>
      </c>
      <c r="E4" s="7" t="s">
        <v>10</v>
      </c>
      <c r="F4" s="6" t="s">
        <v>19</v>
      </c>
      <c r="G4" s="8" t="s">
        <v>20</v>
      </c>
      <c r="H4" s="5" t="str">
        <f>IFERROR(__xludf.DUMMYFUNCTION("REGEXEXTRACT(B4, ""\((\d+)\)"")"),"3")</f>
        <v>3</v>
      </c>
      <c r="I4" s="5"/>
      <c r="J4" s="5"/>
      <c r="K4" s="5"/>
      <c r="L4" s="5"/>
    </row>
    <row r="5" ht="35.25" customHeight="1">
      <c r="A5" s="5">
        <v>4.0</v>
      </c>
      <c r="B5" s="6" t="s">
        <v>21</v>
      </c>
      <c r="C5" s="6" t="str">
        <f>IFERROR(__xludf.DUMMYFUNCTION("REGEXEXTRACT(B5, ""^[A-Z0-9-]+"")"),"AR-504")</f>
        <v>AR-504</v>
      </c>
      <c r="D5" s="6" t="s">
        <v>22</v>
      </c>
      <c r="E5" s="7" t="s">
        <v>10</v>
      </c>
      <c r="F5" s="6" t="s">
        <v>23</v>
      </c>
      <c r="G5" s="8" t="s">
        <v>24</v>
      </c>
      <c r="H5" s="5" t="str">
        <f>IFERROR(__xludf.DUMMYFUNCTION("REGEXEXTRACT(B5, ""\((\d+)\)"")"),"3")</f>
        <v>3</v>
      </c>
      <c r="I5" s="5"/>
      <c r="J5" s="5"/>
      <c r="K5" s="5"/>
      <c r="L5" s="5"/>
    </row>
    <row r="6" ht="35.25" customHeight="1">
      <c r="A6" s="5">
        <v>5.0</v>
      </c>
      <c r="B6" s="6" t="s">
        <v>25</v>
      </c>
      <c r="C6" s="6" t="str">
        <f>IFERROR(__xludf.DUMMYFUNCTION("REGEXEXTRACT(B6, ""^[A-Z0-9-]+"")"),"AR-505")</f>
        <v>AR-505</v>
      </c>
      <c r="D6" s="6" t="s">
        <v>26</v>
      </c>
      <c r="E6" s="7" t="s">
        <v>10</v>
      </c>
      <c r="F6" s="6" t="s">
        <v>19</v>
      </c>
      <c r="G6" s="8" t="s">
        <v>27</v>
      </c>
      <c r="H6" s="5" t="str">
        <f>IFERROR(__xludf.DUMMYFUNCTION("REGEXEXTRACT(B6, ""\((\d+)\)"")"),"3")</f>
        <v>3</v>
      </c>
      <c r="I6" s="5"/>
      <c r="J6" s="5"/>
      <c r="K6" s="5"/>
      <c r="L6" s="5"/>
    </row>
    <row r="7" ht="35.25" customHeight="1">
      <c r="A7" s="5">
        <v>6.0</v>
      </c>
      <c r="B7" s="6" t="s">
        <v>28</v>
      </c>
      <c r="C7" s="6" t="str">
        <f>IFERROR(__xludf.DUMMYFUNCTION("REGEXEXTRACT(B7, ""^[A-Z0-9-]+"")"),"AR-506")</f>
        <v>AR-506</v>
      </c>
      <c r="D7" s="6" t="s">
        <v>29</v>
      </c>
      <c r="E7" s="7" t="s">
        <v>10</v>
      </c>
      <c r="F7" s="6" t="s">
        <v>19</v>
      </c>
      <c r="G7" s="8" t="s">
        <v>30</v>
      </c>
      <c r="H7" s="5" t="str">
        <f>IFERROR(__xludf.DUMMYFUNCTION("REGEXEXTRACT(B7, ""\((\d+)\)"")"),"3")</f>
        <v>3</v>
      </c>
      <c r="I7" s="5"/>
      <c r="J7" s="5"/>
      <c r="K7" s="5"/>
      <c r="L7" s="5"/>
    </row>
    <row r="8" ht="35.25" customHeight="1">
      <c r="A8" s="5">
        <v>7.0</v>
      </c>
      <c r="B8" s="6" t="s">
        <v>31</v>
      </c>
      <c r="C8" s="6" t="str">
        <f>IFERROR(__xludf.DUMMYFUNCTION("REGEXEXTRACT(B8, ""^[A-Z0-9-]+"")"),"AR-507")</f>
        <v>AR-507</v>
      </c>
      <c r="D8" s="6" t="s">
        <v>32</v>
      </c>
      <c r="E8" s="7" t="s">
        <v>10</v>
      </c>
      <c r="F8" s="6" t="s">
        <v>19</v>
      </c>
      <c r="G8" s="8" t="s">
        <v>33</v>
      </c>
      <c r="H8" s="5" t="str">
        <f>IFERROR(__xludf.DUMMYFUNCTION("REGEXEXTRACT(B8, ""\((\d+)\)"")"),"3")</f>
        <v>3</v>
      </c>
      <c r="I8" s="5"/>
      <c r="J8" s="5"/>
      <c r="K8" s="5"/>
      <c r="L8" s="5"/>
    </row>
    <row r="9" ht="35.25" customHeight="1">
      <c r="A9" s="5">
        <v>8.0</v>
      </c>
      <c r="B9" s="6" t="s">
        <v>34</v>
      </c>
      <c r="C9" s="6" t="str">
        <f>IFERROR(__xludf.DUMMYFUNCTION("REGEXEXTRACT(B9, ""^[A-Z0-9-]+"")"),"AR-508")</f>
        <v>AR-508</v>
      </c>
      <c r="D9" s="6" t="s">
        <v>35</v>
      </c>
      <c r="E9" s="7" t="s">
        <v>10</v>
      </c>
      <c r="F9" s="6" t="s">
        <v>19</v>
      </c>
      <c r="G9" s="8" t="s">
        <v>36</v>
      </c>
      <c r="H9" s="5" t="str">
        <f>IFERROR(__xludf.DUMMYFUNCTION("REGEXEXTRACT(B9, ""\((\d+)\)"")"),"3")</f>
        <v>3</v>
      </c>
      <c r="I9" s="5"/>
      <c r="J9" s="5"/>
      <c r="K9" s="5"/>
      <c r="L9" s="5"/>
    </row>
    <row r="10" ht="35.25" customHeight="1">
      <c r="A10" s="5">
        <v>9.0</v>
      </c>
      <c r="B10" s="6" t="s">
        <v>37</v>
      </c>
      <c r="C10" s="6" t="str">
        <f>IFERROR(__xludf.DUMMYFUNCTION("REGEXEXTRACT(B10, ""^[A-Z0-9-]+"")"),"AR-509")</f>
        <v>AR-509</v>
      </c>
      <c r="D10" s="6" t="s">
        <v>38</v>
      </c>
      <c r="E10" s="7" t="s">
        <v>10</v>
      </c>
      <c r="F10" s="6" t="s">
        <v>15</v>
      </c>
      <c r="G10" s="8" t="s">
        <v>39</v>
      </c>
      <c r="H10" s="5" t="str">
        <f>IFERROR(__xludf.DUMMYFUNCTION("REGEXEXTRACT(B10, ""\((\d+)\)"")"),"4")</f>
        <v>4</v>
      </c>
      <c r="I10" s="5"/>
      <c r="J10" s="5"/>
      <c r="K10" s="5"/>
      <c r="L10" s="5"/>
    </row>
    <row r="11" ht="35.25" customHeight="1">
      <c r="A11" s="5">
        <v>10.0</v>
      </c>
      <c r="B11" s="6" t="s">
        <v>40</v>
      </c>
      <c r="C11" s="6" t="str">
        <f>IFERROR(__xludf.DUMMYFUNCTION("REGEXEXTRACT(B11, ""^[A-Z0-9-]+"")"),"AR-510")</f>
        <v>AR-510</v>
      </c>
      <c r="D11" s="6" t="s">
        <v>41</v>
      </c>
      <c r="E11" s="7" t="s">
        <v>10</v>
      </c>
      <c r="F11" s="6" t="s">
        <v>19</v>
      </c>
      <c r="G11" s="8" t="s">
        <v>12</v>
      </c>
      <c r="H11" s="5" t="str">
        <f>IFERROR(__xludf.DUMMYFUNCTION("REGEXEXTRACT(B11, ""\((\d+)\)"")"),"3")</f>
        <v>3</v>
      </c>
      <c r="I11" s="5"/>
      <c r="J11" s="5"/>
      <c r="K11" s="5"/>
      <c r="L11" s="5"/>
    </row>
    <row r="12" ht="35.25" customHeight="1">
      <c r="A12" s="5">
        <v>11.0</v>
      </c>
      <c r="B12" s="6" t="s">
        <v>42</v>
      </c>
      <c r="C12" s="6" t="str">
        <f>IFERROR(__xludf.DUMMYFUNCTION("REGEXEXTRACT(B12, ""^[A-Z0-9-]+"")"),"AR-511")</f>
        <v>AR-511</v>
      </c>
      <c r="D12" s="6" t="s">
        <v>43</v>
      </c>
      <c r="E12" s="7" t="s">
        <v>10</v>
      </c>
      <c r="F12" s="6" t="s">
        <v>19</v>
      </c>
      <c r="G12" s="8" t="s">
        <v>16</v>
      </c>
      <c r="H12" s="5" t="str">
        <f>IFERROR(__xludf.DUMMYFUNCTION("REGEXEXTRACT(B12, ""\((\d+)\)"")"),"3")</f>
        <v>3</v>
      </c>
      <c r="I12" s="5"/>
      <c r="J12" s="5"/>
      <c r="K12" s="5"/>
      <c r="L12" s="5"/>
    </row>
    <row r="13" ht="35.25" customHeight="1">
      <c r="A13" s="5">
        <v>12.0</v>
      </c>
      <c r="B13" s="6" t="s">
        <v>44</v>
      </c>
      <c r="C13" s="6" t="str">
        <f>IFERROR(__xludf.DUMMYFUNCTION("REGEXEXTRACT(B13, ""^[A-Z0-9-]+"")"),"AR-512")</f>
        <v>AR-512</v>
      </c>
      <c r="D13" s="6" t="s">
        <v>45</v>
      </c>
      <c r="E13" s="7" t="s">
        <v>10</v>
      </c>
      <c r="F13" s="6" t="s">
        <v>15</v>
      </c>
      <c r="G13" s="8" t="s">
        <v>20</v>
      </c>
      <c r="H13" s="5" t="str">
        <f>IFERROR(__xludf.DUMMYFUNCTION("REGEXEXTRACT(B13, ""\((\d+)\)"")"),"4")</f>
        <v>4</v>
      </c>
      <c r="I13" s="5"/>
      <c r="J13" s="5"/>
      <c r="K13" s="5"/>
      <c r="L13" s="5"/>
    </row>
    <row r="14" ht="35.25" customHeight="1">
      <c r="A14" s="5">
        <v>13.0</v>
      </c>
      <c r="B14" s="6" t="s">
        <v>46</v>
      </c>
      <c r="C14" s="6" t="str">
        <f>IFERROR(__xludf.DUMMYFUNCTION("REGEXEXTRACT(B14, ""^[A-Z0-9-]+"")"),"AR-513")</f>
        <v>AR-513</v>
      </c>
      <c r="D14" s="6" t="s">
        <v>47</v>
      </c>
      <c r="E14" s="7" t="s">
        <v>10</v>
      </c>
      <c r="F14" s="6" t="s">
        <v>19</v>
      </c>
      <c r="G14" s="8" t="s">
        <v>24</v>
      </c>
      <c r="H14" s="5" t="str">
        <f>IFERROR(__xludf.DUMMYFUNCTION("REGEXEXTRACT(B14, ""\((\d+)\)"")"),"3")</f>
        <v>3</v>
      </c>
      <c r="I14" s="5"/>
      <c r="J14" s="5"/>
      <c r="K14" s="5"/>
      <c r="L14" s="5"/>
    </row>
    <row r="15" ht="35.25" customHeight="1">
      <c r="A15" s="5">
        <v>14.0</v>
      </c>
      <c r="B15" s="6" t="s">
        <v>48</v>
      </c>
      <c r="C15" s="6" t="str">
        <f>IFERROR(__xludf.DUMMYFUNCTION("REGEXEXTRACT(B15, ""^[A-Z0-9-]+"")"),"AR-514")</f>
        <v>AR-514</v>
      </c>
      <c r="D15" s="6" t="s">
        <v>49</v>
      </c>
      <c r="E15" s="7" t="s">
        <v>10</v>
      </c>
      <c r="F15" s="6" t="s">
        <v>19</v>
      </c>
      <c r="G15" s="8" t="s">
        <v>27</v>
      </c>
      <c r="H15" s="5" t="str">
        <f>IFERROR(__xludf.DUMMYFUNCTION("REGEXEXTRACT(B15, ""\((\d+)\)"")"),"3")</f>
        <v>3</v>
      </c>
      <c r="I15" s="5"/>
      <c r="J15" s="5"/>
      <c r="K15" s="5"/>
      <c r="L15" s="5"/>
    </row>
    <row r="16" ht="35.25" customHeight="1">
      <c r="A16" s="5">
        <v>15.0</v>
      </c>
      <c r="B16" s="6" t="s">
        <v>50</v>
      </c>
      <c r="C16" s="6" t="str">
        <f>IFERROR(__xludf.DUMMYFUNCTION("REGEXEXTRACT(B16, ""^[A-Z0-9-]+"")"),"AR-515")</f>
        <v>AR-515</v>
      </c>
      <c r="D16" s="6" t="s">
        <v>51</v>
      </c>
      <c r="E16" s="7" t="s">
        <v>10</v>
      </c>
      <c r="F16" s="6" t="s">
        <v>19</v>
      </c>
      <c r="G16" s="8" t="s">
        <v>30</v>
      </c>
      <c r="H16" s="5" t="str">
        <f>IFERROR(__xludf.DUMMYFUNCTION("REGEXEXTRACT(B16, ""\((\d+)\)"")"),"3")</f>
        <v>3</v>
      </c>
      <c r="I16" s="5"/>
      <c r="J16" s="5"/>
      <c r="K16" s="5"/>
      <c r="L16" s="5"/>
    </row>
    <row r="17" ht="35.25" customHeight="1">
      <c r="A17" s="5">
        <v>16.0</v>
      </c>
      <c r="B17" s="9" t="s">
        <v>52</v>
      </c>
      <c r="C17" s="6" t="str">
        <f>IFERROR(__xludf.DUMMYFUNCTION("REGEXEXTRACT(B17, ""^[A-Z0-9-]+"")"),"AR-516")</f>
        <v>AR-516</v>
      </c>
      <c r="D17" s="9" t="s">
        <v>53</v>
      </c>
      <c r="E17" s="10" t="s">
        <v>10</v>
      </c>
      <c r="F17" s="9" t="s">
        <v>19</v>
      </c>
      <c r="G17" s="8" t="s">
        <v>33</v>
      </c>
      <c r="H17" s="5" t="str">
        <f>IFERROR(__xludf.DUMMYFUNCTION("REGEXEXTRACT(B17, ""\((\d+)\)"")"),"3")</f>
        <v>3</v>
      </c>
      <c r="I17" s="5"/>
      <c r="J17" s="5"/>
      <c r="K17" s="5"/>
      <c r="L17" s="5"/>
    </row>
    <row r="18" ht="35.25" customHeight="1">
      <c r="A18" s="5">
        <v>17.0</v>
      </c>
      <c r="B18" s="9" t="s">
        <v>54</v>
      </c>
      <c r="C18" s="6" t="str">
        <f>IFERROR(__xludf.DUMMYFUNCTION("REGEXEXTRACT(B18, ""^[A-Z0-9-]+"")"),"AR-")</f>
        <v>AR-</v>
      </c>
      <c r="D18" s="9" t="s">
        <v>55</v>
      </c>
      <c r="E18" s="10" t="s">
        <v>10</v>
      </c>
      <c r="F18" s="9" t="s">
        <v>19</v>
      </c>
      <c r="G18" s="8" t="s">
        <v>36</v>
      </c>
      <c r="H18" s="5" t="str">
        <f>IFERROR(__xludf.DUMMYFUNCTION("REGEXEXTRACT(B18, ""\((\d+)\)"")"),"3")</f>
        <v>3</v>
      </c>
      <c r="I18" s="5"/>
      <c r="J18" s="5"/>
      <c r="K18" s="5"/>
      <c r="L18" s="5"/>
    </row>
    <row r="19" ht="35.25" customHeight="1">
      <c r="A19" s="5">
        <v>18.0</v>
      </c>
      <c r="B19" s="11" t="s">
        <v>56</v>
      </c>
      <c r="C19" s="6" t="str">
        <f>IFERROR(__xludf.DUMMYFUNCTION("REGEXEXTRACT(B19, ""^[A-Z0-9-]+"")"),"AR-518")</f>
        <v>AR-518</v>
      </c>
      <c r="D19" s="12" t="s">
        <v>57</v>
      </c>
      <c r="E19" s="13" t="s">
        <v>10</v>
      </c>
      <c r="F19" s="11" t="s">
        <v>19</v>
      </c>
      <c r="G19" s="8" t="s">
        <v>39</v>
      </c>
      <c r="H19" s="5" t="str">
        <f>IFERROR(__xludf.DUMMYFUNCTION("REGEXEXTRACT(B19, ""\((\d+)\)"")"),"3")</f>
        <v>3</v>
      </c>
      <c r="I19" s="5"/>
      <c r="J19" s="5"/>
      <c r="K19" s="5"/>
      <c r="L19" s="5"/>
    </row>
    <row r="20" ht="35.25" customHeight="1">
      <c r="A20" s="5">
        <v>19.0</v>
      </c>
      <c r="B20" s="11" t="s">
        <v>58</v>
      </c>
      <c r="C20" s="6" t="str">
        <f>IFERROR(__xludf.DUMMYFUNCTION("REGEXEXTRACT(B20, ""^[A-Z0-9-]+"")"),"BT-101")</f>
        <v>BT-101</v>
      </c>
      <c r="D20" s="12" t="s">
        <v>59</v>
      </c>
      <c r="E20" s="13" t="s">
        <v>10</v>
      </c>
      <c r="F20" s="11" t="s">
        <v>60</v>
      </c>
      <c r="G20" s="8" t="s">
        <v>12</v>
      </c>
      <c r="H20" s="5" t="str">
        <f>IFERROR(__xludf.DUMMYFUNCTION("REGEXEXTRACT(B20, ""\((\d+)\)"")"),"2")</f>
        <v>2</v>
      </c>
      <c r="I20" s="5"/>
      <c r="J20" s="5"/>
      <c r="K20" s="5"/>
      <c r="L20" s="5"/>
    </row>
    <row r="21" ht="35.25" customHeight="1">
      <c r="A21" s="5">
        <v>20.0</v>
      </c>
      <c r="B21" s="14" t="s">
        <v>61</v>
      </c>
      <c r="C21" s="6" t="str">
        <f>IFERROR(__xludf.DUMMYFUNCTION("REGEXEXTRACT(B21, ""^[A-Z0-9-]+"")"),"BE")</f>
        <v>BE</v>
      </c>
      <c r="D21" s="14" t="s">
        <v>62</v>
      </c>
      <c r="E21" s="15" t="s">
        <v>10</v>
      </c>
      <c r="F21" s="14" t="s">
        <v>15</v>
      </c>
      <c r="G21" s="8" t="s">
        <v>16</v>
      </c>
      <c r="H21" s="5" t="str">
        <f>IFERROR(__xludf.DUMMYFUNCTION("REGEXEXTRACT(B21, ""\((\d+)\)"")"),"4")</f>
        <v>4</v>
      </c>
      <c r="I21" s="5"/>
      <c r="J21" s="5"/>
      <c r="K21" s="5"/>
      <c r="L21" s="5"/>
    </row>
    <row r="22" ht="35.25" customHeight="1">
      <c r="A22" s="5">
        <v>21.0</v>
      </c>
      <c r="B22" s="14" t="s">
        <v>63</v>
      </c>
      <c r="C22" s="6" t="str">
        <f>IFERROR(__xludf.DUMMYFUNCTION("REGEXEXTRACT(B22, ""^[A-Z0-9-]+"")"),"BE-202")</f>
        <v>BE-202</v>
      </c>
      <c r="D22" s="14" t="s">
        <v>64</v>
      </c>
      <c r="E22" s="15" t="s">
        <v>10</v>
      </c>
      <c r="F22" s="14" t="s">
        <v>15</v>
      </c>
      <c r="G22" s="8" t="s">
        <v>20</v>
      </c>
      <c r="H22" s="5" t="str">
        <f>IFERROR(__xludf.DUMMYFUNCTION("REGEXEXTRACT(B22, ""\((\d+)\)"")"),"4")</f>
        <v>4</v>
      </c>
      <c r="I22" s="5"/>
      <c r="J22" s="5"/>
      <c r="K22" s="5"/>
      <c r="L22" s="5"/>
    </row>
    <row r="23" ht="35.25" customHeight="1">
      <c r="A23" s="5">
        <v>22.0</v>
      </c>
      <c r="B23" s="14" t="s">
        <v>65</v>
      </c>
      <c r="C23" s="6" t="str">
        <f>IFERROR(__xludf.DUMMYFUNCTION("REGEXEXTRACT(B23, ""^[A-Z0-9-]+"")"),"BE-203")</f>
        <v>BE-203</v>
      </c>
      <c r="D23" s="14" t="s">
        <v>66</v>
      </c>
      <c r="E23" s="15" t="s">
        <v>10</v>
      </c>
      <c r="F23" s="14" t="s">
        <v>15</v>
      </c>
      <c r="G23" s="8" t="s">
        <v>24</v>
      </c>
      <c r="H23" s="5" t="str">
        <f>IFERROR(__xludf.DUMMYFUNCTION("REGEXEXTRACT(B23, ""\((\d+)\)"")"),"4")</f>
        <v>4</v>
      </c>
      <c r="I23" s="5"/>
      <c r="J23" s="5"/>
      <c r="K23" s="5"/>
      <c r="L23" s="5"/>
    </row>
    <row r="24" ht="35.25" customHeight="1">
      <c r="A24" s="5">
        <v>23.0</v>
      </c>
      <c r="B24" s="14" t="s">
        <v>67</v>
      </c>
      <c r="C24" s="6" t="str">
        <f>IFERROR(__xludf.DUMMYFUNCTION("REGEXEXTRACT(B24, ""^[A-Z0-9-]+"")"),"BE")</f>
        <v>BE</v>
      </c>
      <c r="D24" s="14" t="s">
        <v>68</v>
      </c>
      <c r="E24" s="15" t="s">
        <v>10</v>
      </c>
      <c r="F24" s="14" t="s">
        <v>15</v>
      </c>
      <c r="G24" s="8" t="s">
        <v>27</v>
      </c>
      <c r="H24" s="5" t="str">
        <f>IFERROR(__xludf.DUMMYFUNCTION("REGEXEXTRACT(B24, ""\((\d+)\)"")"),"4")</f>
        <v>4</v>
      </c>
      <c r="I24" s="5"/>
      <c r="J24" s="5"/>
      <c r="K24" s="5"/>
      <c r="L24" s="5"/>
    </row>
    <row r="25" ht="35.25" customHeight="1">
      <c r="A25" s="5">
        <v>24.0</v>
      </c>
      <c r="B25" s="14" t="s">
        <v>69</v>
      </c>
      <c r="C25" s="6" t="str">
        <f>IFERROR(__xludf.DUMMYFUNCTION("REGEXEXTRACT(B25, ""^[A-Z0-9-]+"")"),"BE")</f>
        <v>BE</v>
      </c>
      <c r="D25" s="14" t="s">
        <v>70</v>
      </c>
      <c r="E25" s="15" t="s">
        <v>10</v>
      </c>
      <c r="F25" s="14" t="s">
        <v>15</v>
      </c>
      <c r="G25" s="8" t="s">
        <v>30</v>
      </c>
      <c r="H25" s="5" t="str">
        <f>IFERROR(__xludf.DUMMYFUNCTION("REGEXEXTRACT(B25, ""\((\d+)\)"")"),"4")</f>
        <v>4</v>
      </c>
      <c r="I25" s="5"/>
      <c r="J25" s="5"/>
      <c r="K25" s="5"/>
      <c r="L25" s="5"/>
    </row>
    <row r="26" ht="35.25" customHeight="1">
      <c r="A26" s="5">
        <v>25.0</v>
      </c>
      <c r="B26" s="14" t="s">
        <v>71</v>
      </c>
      <c r="C26" s="6" t="str">
        <f>IFERROR(__xludf.DUMMYFUNCTION("REGEXEXTRACT(B26, ""^[A-Z0-9-]+"")"),"BE")</f>
        <v>BE</v>
      </c>
      <c r="D26" s="14" t="s">
        <v>72</v>
      </c>
      <c r="E26" s="15" t="s">
        <v>10</v>
      </c>
      <c r="F26" s="14" t="s">
        <v>15</v>
      </c>
      <c r="G26" s="8" t="s">
        <v>33</v>
      </c>
      <c r="H26" s="5" t="str">
        <f>IFERROR(__xludf.DUMMYFUNCTION("REGEXEXTRACT(B26, ""\((\d+)\)"")"),"4")</f>
        <v>4</v>
      </c>
      <c r="I26" s="5"/>
      <c r="J26" s="5"/>
      <c r="K26" s="5"/>
      <c r="L26" s="5"/>
    </row>
    <row r="27" ht="35.25" customHeight="1">
      <c r="A27" s="5">
        <v>26.0</v>
      </c>
      <c r="B27" s="14" t="s">
        <v>73</v>
      </c>
      <c r="C27" s="6" t="str">
        <f>IFERROR(__xludf.DUMMYFUNCTION("REGEXEXTRACT(B27, ""^[A-Z0-9-]+"")"),"BE-304")</f>
        <v>BE-304</v>
      </c>
      <c r="D27" s="14" t="s">
        <v>74</v>
      </c>
      <c r="E27" s="15" t="s">
        <v>10</v>
      </c>
      <c r="F27" s="14" t="s">
        <v>15</v>
      </c>
      <c r="G27" s="8" t="s">
        <v>36</v>
      </c>
      <c r="H27" s="5" t="str">
        <f>IFERROR(__xludf.DUMMYFUNCTION("REGEXEXTRACT(B27, ""\((\d+)\)"")"),"4")</f>
        <v>4</v>
      </c>
      <c r="I27" s="5"/>
      <c r="J27" s="5"/>
      <c r="K27" s="5"/>
      <c r="L27" s="5"/>
    </row>
    <row r="28" ht="35.25" customHeight="1">
      <c r="A28" s="5">
        <v>27.0</v>
      </c>
      <c r="B28" s="14" t="s">
        <v>75</v>
      </c>
      <c r="C28" s="6" t="str">
        <f>IFERROR(__xludf.DUMMYFUNCTION("REGEXEXTRACT(B28, ""^[A-Z0-9-]+"")"),"BE")</f>
        <v>BE</v>
      </c>
      <c r="D28" s="14" t="s">
        <v>76</v>
      </c>
      <c r="E28" s="15" t="s">
        <v>10</v>
      </c>
      <c r="F28" s="14" t="s">
        <v>77</v>
      </c>
      <c r="G28" s="8" t="s">
        <v>39</v>
      </c>
      <c r="H28" s="5" t="str">
        <f>IFERROR(__xludf.DUMMYFUNCTION("REGEXEXTRACT(B28, ""\((\d+)\)"")"),"1")</f>
        <v>1</v>
      </c>
      <c r="I28" s="5"/>
      <c r="J28" s="5"/>
      <c r="K28" s="5"/>
      <c r="L28" s="5"/>
    </row>
    <row r="29" ht="35.25" customHeight="1">
      <c r="A29" s="5">
        <v>28.0</v>
      </c>
      <c r="B29" s="6" t="s">
        <v>78</v>
      </c>
      <c r="C29" s="6" t="str">
        <f>IFERROR(__xludf.DUMMYFUNCTION("REGEXEXTRACT(B29, ""^[A-Z0-9-]+"")"),"BE-306")</f>
        <v>BE-306</v>
      </c>
      <c r="D29" s="6" t="s">
        <v>79</v>
      </c>
      <c r="E29" s="15" t="s">
        <v>10</v>
      </c>
      <c r="F29" s="6" t="s">
        <v>11</v>
      </c>
      <c r="G29" s="8" t="s">
        <v>12</v>
      </c>
      <c r="H29" s="5" t="str">
        <f>IFERROR(__xludf.DUMMYFUNCTION("REGEXEXTRACT(B29, ""\((\d+)\)"")"),"4")</f>
        <v>4</v>
      </c>
      <c r="I29" s="5"/>
      <c r="J29" s="5"/>
      <c r="K29" s="5"/>
      <c r="L29" s="5"/>
    </row>
    <row r="30" ht="35.25" customHeight="1">
      <c r="A30" s="5">
        <v>29.0</v>
      </c>
      <c r="B30" s="6" t="s">
        <v>80</v>
      </c>
      <c r="C30" s="6" t="str">
        <f>IFERROR(__xludf.DUMMYFUNCTION("REGEXEXTRACT(B30, ""^[A-Z0-9-]+"")"),"BE-307P")</f>
        <v>BE-307P</v>
      </c>
      <c r="D30" s="6" t="s">
        <v>81</v>
      </c>
      <c r="E30" s="15" t="s">
        <v>10</v>
      </c>
      <c r="F30" s="6" t="s">
        <v>82</v>
      </c>
      <c r="G30" s="8" t="s">
        <v>16</v>
      </c>
      <c r="H30" s="5" t="str">
        <f>IFERROR(__xludf.DUMMYFUNCTION("REGEXEXTRACT(B30, ""\((\d+)\)"")"),"1")</f>
        <v>1</v>
      </c>
      <c r="I30" s="5"/>
      <c r="J30" s="5"/>
      <c r="K30" s="5"/>
      <c r="L30" s="5"/>
    </row>
    <row r="31" ht="35.25" customHeight="1">
      <c r="A31" s="5">
        <v>30.0</v>
      </c>
      <c r="B31" s="6" t="s">
        <v>83</v>
      </c>
      <c r="C31" s="6" t="str">
        <f>IFERROR(__xludf.DUMMYFUNCTION("REGEXEXTRACT(B31, ""^[A-Z0-9-]+"")"),"BE-308")</f>
        <v>BE-308</v>
      </c>
      <c r="D31" s="6" t="s">
        <v>84</v>
      </c>
      <c r="E31" s="15" t="s">
        <v>10</v>
      </c>
      <c r="F31" s="6" t="s">
        <v>15</v>
      </c>
      <c r="G31" s="8" t="s">
        <v>20</v>
      </c>
      <c r="H31" s="5" t="str">
        <f>IFERROR(__xludf.DUMMYFUNCTION("REGEXEXTRACT(B31, ""\((\d+)\)"")"),"4")</f>
        <v>4</v>
      </c>
      <c r="I31" s="5"/>
      <c r="J31" s="5"/>
      <c r="K31" s="5"/>
      <c r="L31" s="5"/>
    </row>
    <row r="32" ht="35.25" customHeight="1">
      <c r="A32" s="5">
        <v>31.0</v>
      </c>
      <c r="B32" s="16" t="s">
        <v>85</v>
      </c>
      <c r="C32" s="6" t="str">
        <f>IFERROR(__xludf.DUMMYFUNCTION("REGEXEXTRACT(B32, ""^[A-Z0-9-]+"")"),"BE-309")</f>
        <v>BE-309</v>
      </c>
      <c r="D32" s="14" t="s">
        <v>86</v>
      </c>
      <c r="E32" s="17" t="s">
        <v>87</v>
      </c>
      <c r="F32" s="16" t="s">
        <v>15</v>
      </c>
      <c r="G32" s="8" t="s">
        <v>24</v>
      </c>
      <c r="H32" s="5" t="str">
        <f>IFERROR(__xludf.DUMMYFUNCTION("REGEXEXTRACT(B32, ""\((\d+)\)"")"),"4")</f>
        <v>4</v>
      </c>
      <c r="I32" s="5"/>
      <c r="J32" s="5"/>
      <c r="K32" s="5"/>
      <c r="L32" s="5"/>
    </row>
    <row r="33" ht="35.25" customHeight="1">
      <c r="A33" s="5">
        <v>32.0</v>
      </c>
      <c r="B33" s="16" t="s">
        <v>88</v>
      </c>
      <c r="C33" s="6" t="str">
        <f>IFERROR(__xludf.DUMMYFUNCTION("REGEXEXTRACT(B33, ""^[A-Z0-9-]+"")"),"BE")</f>
        <v>BE</v>
      </c>
      <c r="D33" s="14" t="s">
        <v>89</v>
      </c>
      <c r="E33" s="17" t="s">
        <v>87</v>
      </c>
      <c r="F33" s="16" t="s">
        <v>15</v>
      </c>
      <c r="G33" s="8" t="s">
        <v>27</v>
      </c>
      <c r="H33" s="5" t="str">
        <f>IFERROR(__xludf.DUMMYFUNCTION("REGEXEXTRACT(B33, ""\((\d+)\)"")"),"4")</f>
        <v>4</v>
      </c>
      <c r="I33" s="5"/>
      <c r="J33" s="5"/>
      <c r="K33" s="5"/>
      <c r="L33" s="5"/>
    </row>
    <row r="34" ht="35.25" customHeight="1">
      <c r="A34" s="5">
        <v>33.0</v>
      </c>
      <c r="B34" s="6" t="s">
        <v>90</v>
      </c>
      <c r="C34" s="6" t="str">
        <f>IFERROR(__xludf.DUMMYFUNCTION("REGEXEXTRACT(B34, ""^[A-Z0-9-]+"")"),"BE-401")</f>
        <v>BE-401</v>
      </c>
      <c r="D34" s="6" t="s">
        <v>91</v>
      </c>
      <c r="E34" s="15" t="s">
        <v>10</v>
      </c>
      <c r="F34" s="6" t="s">
        <v>92</v>
      </c>
      <c r="G34" s="8" t="s">
        <v>30</v>
      </c>
      <c r="H34" s="5" t="str">
        <f>IFERROR(__xludf.DUMMYFUNCTION("REGEXEXTRACT(B34, ""\((\d+)\)"")"),"4")</f>
        <v>4</v>
      </c>
      <c r="I34" s="5"/>
      <c r="J34" s="5"/>
      <c r="K34" s="5"/>
      <c r="L34" s="5"/>
    </row>
    <row r="35" ht="35.25" customHeight="1">
      <c r="A35" s="5">
        <v>34.0</v>
      </c>
      <c r="B35" s="14" t="s">
        <v>93</v>
      </c>
      <c r="C35" s="6" t="str">
        <f>IFERROR(__xludf.DUMMYFUNCTION("REGEXEXTRACT(B35, ""^[A-Z0-9-]+"")"),"BE")</f>
        <v>BE</v>
      </c>
      <c r="D35" s="14" t="s">
        <v>94</v>
      </c>
      <c r="E35" s="15" t="s">
        <v>10</v>
      </c>
      <c r="F35" s="14" t="s">
        <v>19</v>
      </c>
      <c r="G35" s="8" t="s">
        <v>33</v>
      </c>
      <c r="H35" s="5" t="str">
        <f>IFERROR(__xludf.DUMMYFUNCTION("REGEXEXTRACT(B35, ""\((\d+)\)"")"),"3")</f>
        <v>3</v>
      </c>
      <c r="I35" s="5"/>
      <c r="J35" s="5"/>
      <c r="K35" s="5"/>
      <c r="L35" s="5"/>
    </row>
    <row r="36" ht="35.25" customHeight="1">
      <c r="A36" s="5">
        <v>35.0</v>
      </c>
      <c r="B36" s="14" t="s">
        <v>95</v>
      </c>
      <c r="C36" s="6" t="str">
        <f>IFERROR(__xludf.DUMMYFUNCTION("REGEXEXTRACT(B36, ""^[A-Z0-9-]+"")"),"BE")</f>
        <v>BE</v>
      </c>
      <c r="D36" s="14" t="s">
        <v>96</v>
      </c>
      <c r="E36" s="15" t="s">
        <v>10</v>
      </c>
      <c r="F36" s="14" t="s">
        <v>23</v>
      </c>
      <c r="G36" s="8" t="s">
        <v>36</v>
      </c>
      <c r="H36" s="5" t="str">
        <f>IFERROR(__xludf.DUMMYFUNCTION("REGEXEXTRACT(B36, ""\((\d+)\)"")"),"3")</f>
        <v>3</v>
      </c>
      <c r="I36" s="5"/>
      <c r="J36" s="5"/>
      <c r="K36" s="5"/>
      <c r="L36" s="5"/>
    </row>
    <row r="37" ht="69.0" customHeight="1">
      <c r="A37" s="5">
        <v>36.0</v>
      </c>
      <c r="B37" s="18" t="s">
        <v>97</v>
      </c>
      <c r="C37" s="6" t="str">
        <f>IFERROR(__xludf.DUMMYFUNCTION("REGEXEXTRACT(B37, ""^[A-Z0-9-]+"")"),"BE")</f>
        <v>BE</v>
      </c>
      <c r="D37" s="18" t="s">
        <v>86</v>
      </c>
      <c r="E37" s="19" t="s">
        <v>10</v>
      </c>
      <c r="F37" s="18" t="s">
        <v>15</v>
      </c>
      <c r="G37" s="8" t="s">
        <v>39</v>
      </c>
      <c r="H37" s="5" t="str">
        <f>IFERROR(__xludf.DUMMYFUNCTION("REGEXEXTRACT(B37, ""\((\d+)\)"")"),"4")</f>
        <v>4</v>
      </c>
      <c r="I37" s="20"/>
      <c r="J37" s="20"/>
      <c r="K37" s="20"/>
      <c r="L37" s="20"/>
    </row>
    <row r="38" ht="35.25" customHeight="1">
      <c r="A38" s="5">
        <v>37.0</v>
      </c>
      <c r="B38" s="18" t="s">
        <v>98</v>
      </c>
      <c r="C38" s="6" t="str">
        <f>IFERROR(__xludf.DUMMYFUNCTION("REGEXEXTRACT(B38, ""^[A-Z0-9-]+"")"),"BE")</f>
        <v>BE</v>
      </c>
      <c r="D38" s="18" t="s">
        <v>89</v>
      </c>
      <c r="E38" s="19" t="s">
        <v>10</v>
      </c>
      <c r="F38" s="18" t="s">
        <v>15</v>
      </c>
      <c r="G38" s="8" t="s">
        <v>12</v>
      </c>
      <c r="H38" s="5" t="str">
        <f>IFERROR(__xludf.DUMMYFUNCTION("REGEXEXTRACT(B38, ""\((\d+)\)"")"),"4")</f>
        <v>4</v>
      </c>
      <c r="I38" s="20"/>
      <c r="J38" s="20"/>
      <c r="K38" s="20"/>
      <c r="L38" s="20"/>
    </row>
    <row r="39" ht="35.25" customHeight="1">
      <c r="A39" s="5">
        <v>38.0</v>
      </c>
      <c r="B39" s="14" t="s">
        <v>99</v>
      </c>
      <c r="C39" s="6" t="str">
        <f>IFERROR(__xludf.DUMMYFUNCTION("REGEXEXTRACT(B39, ""^[A-Z0-9-]+"")"),"BE")</f>
        <v>BE</v>
      </c>
      <c r="D39" s="14" t="s">
        <v>100</v>
      </c>
      <c r="E39" s="15" t="s">
        <v>10</v>
      </c>
      <c r="F39" s="14" t="s">
        <v>23</v>
      </c>
      <c r="G39" s="8" t="s">
        <v>16</v>
      </c>
      <c r="H39" s="5" t="str">
        <f>IFERROR(__xludf.DUMMYFUNCTION("REGEXEXTRACT(B39, ""\((\d+)\)"")"),"3")</f>
        <v>3</v>
      </c>
      <c r="I39" s="5"/>
      <c r="J39" s="5"/>
      <c r="K39" s="5"/>
      <c r="L39" s="5"/>
    </row>
    <row r="40" ht="35.25" customHeight="1">
      <c r="A40" s="5">
        <v>39.0</v>
      </c>
      <c r="B40" s="14" t="s">
        <v>101</v>
      </c>
      <c r="C40" s="6" t="str">
        <f>IFERROR(__xludf.DUMMYFUNCTION("REGEXEXTRACT(B40, ""^[A-Z0-9-]+"")"),"BE")</f>
        <v>BE</v>
      </c>
      <c r="D40" s="14" t="s">
        <v>102</v>
      </c>
      <c r="E40" s="15" t="s">
        <v>10</v>
      </c>
      <c r="F40" s="14" t="s">
        <v>23</v>
      </c>
      <c r="G40" s="8" t="s">
        <v>20</v>
      </c>
      <c r="H40" s="5" t="str">
        <f>IFERROR(__xludf.DUMMYFUNCTION("REGEXEXTRACT(B40, ""\((\d+)\)"")"),"3")</f>
        <v>3</v>
      </c>
      <c r="I40" s="5"/>
      <c r="J40" s="5"/>
      <c r="K40" s="5"/>
      <c r="L40" s="5"/>
    </row>
    <row r="41" ht="35.25" customHeight="1">
      <c r="A41" s="5">
        <v>40.0</v>
      </c>
      <c r="B41" s="14" t="s">
        <v>103</v>
      </c>
      <c r="C41" s="6" t="str">
        <f>IFERROR(__xludf.DUMMYFUNCTION("REGEXEXTRACT(B41, ""^[A-Z0-9-]+"")"),"BE-507")</f>
        <v>BE-507</v>
      </c>
      <c r="D41" s="14" t="s">
        <v>104</v>
      </c>
      <c r="E41" s="15" t="s">
        <v>10</v>
      </c>
      <c r="F41" s="14" t="s">
        <v>19</v>
      </c>
      <c r="G41" s="8" t="s">
        <v>24</v>
      </c>
      <c r="H41" s="5" t="str">
        <f>IFERROR(__xludf.DUMMYFUNCTION("REGEXEXTRACT(B41, ""\((\d+)\)"")"),"3")</f>
        <v>3</v>
      </c>
      <c r="I41" s="5"/>
      <c r="J41" s="5"/>
      <c r="K41" s="5"/>
      <c r="L41" s="5"/>
    </row>
    <row r="42" ht="35.25" customHeight="1">
      <c r="A42" s="5">
        <v>41.0</v>
      </c>
      <c r="B42" s="16" t="s">
        <v>105</v>
      </c>
      <c r="C42" s="6" t="str">
        <f>IFERROR(__xludf.DUMMYFUNCTION("REGEXEXTRACT(B42, ""^[A-Z0-9-]+"")"),"BE-609P")</f>
        <v>BE-609P</v>
      </c>
      <c r="D42" s="14" t="s">
        <v>106</v>
      </c>
      <c r="E42" s="17" t="s">
        <v>87</v>
      </c>
      <c r="F42" s="16" t="s">
        <v>107</v>
      </c>
      <c r="G42" s="8" t="s">
        <v>27</v>
      </c>
      <c r="H42" s="5" t="str">
        <f>IFERROR(__xludf.DUMMYFUNCTION("REGEXEXTRACT(B42, ""\((\d+)\)"")"),"17")</f>
        <v>17</v>
      </c>
      <c r="I42" s="5"/>
      <c r="J42" s="5"/>
      <c r="K42" s="5"/>
      <c r="L42" s="5"/>
    </row>
    <row r="43" ht="35.25" customHeight="1">
      <c r="A43" s="5">
        <v>42.0</v>
      </c>
      <c r="B43" s="16" t="s">
        <v>108</v>
      </c>
      <c r="C43" s="6" t="str">
        <f>IFERROR(__xludf.DUMMYFUNCTION("REGEXEXTRACT(B43, ""^[A-Z0-9-]+"")"),"BE-610P")</f>
        <v>BE-610P</v>
      </c>
      <c r="D43" s="14" t="s">
        <v>109</v>
      </c>
      <c r="E43" s="17" t="s">
        <v>87</v>
      </c>
      <c r="F43" s="16" t="s">
        <v>107</v>
      </c>
      <c r="G43" s="8" t="s">
        <v>30</v>
      </c>
      <c r="H43" s="5" t="str">
        <f>IFERROR(__xludf.DUMMYFUNCTION("REGEXEXTRACT(B43, ""\((\d+)\)"")"),"17")</f>
        <v>17</v>
      </c>
      <c r="I43" s="5"/>
      <c r="J43" s="5"/>
      <c r="K43" s="5"/>
      <c r="L43" s="5"/>
    </row>
    <row r="44" ht="35.25" customHeight="1">
      <c r="A44" s="5">
        <v>43.0</v>
      </c>
      <c r="B44" s="14" t="s">
        <v>110</v>
      </c>
      <c r="C44" s="6" t="str">
        <f>IFERROR(__xludf.DUMMYFUNCTION("REGEXEXTRACT(B44, ""^[A-Z0-9-]+"")"),"BY-501")</f>
        <v>BY-501</v>
      </c>
      <c r="D44" s="14" t="s">
        <v>111</v>
      </c>
      <c r="E44" s="15" t="s">
        <v>10</v>
      </c>
      <c r="F44" s="14" t="s">
        <v>19</v>
      </c>
      <c r="G44" s="8" t="s">
        <v>33</v>
      </c>
      <c r="H44" s="5" t="str">
        <f>IFERROR(__xludf.DUMMYFUNCTION("REGEXEXTRACT(B44, ""\((\d+)\)"")"),"3")</f>
        <v>3</v>
      </c>
      <c r="I44" s="5"/>
      <c r="J44" s="5"/>
      <c r="K44" s="5"/>
      <c r="L44" s="5"/>
    </row>
    <row r="45" ht="35.25" customHeight="1">
      <c r="A45" s="5">
        <v>44.0</v>
      </c>
      <c r="B45" s="14" t="s">
        <v>112</v>
      </c>
      <c r="C45" s="6" t="str">
        <f>IFERROR(__xludf.DUMMYFUNCTION("REGEXEXTRACT(B45, ""^[A-Z0-9-]+"")"),"BY-502")</f>
        <v>BY-502</v>
      </c>
      <c r="D45" s="14" t="s">
        <v>113</v>
      </c>
      <c r="E45" s="15" t="s">
        <v>10</v>
      </c>
      <c r="F45" s="14" t="s">
        <v>19</v>
      </c>
      <c r="G45" s="8" t="s">
        <v>36</v>
      </c>
      <c r="H45" s="5" t="str">
        <f>IFERROR(__xludf.DUMMYFUNCTION("REGEXEXTRACT(B45, ""\((\d+)\)"")"),"3")</f>
        <v>3</v>
      </c>
      <c r="I45" s="5"/>
      <c r="J45" s="5"/>
      <c r="K45" s="5"/>
      <c r="L45" s="5"/>
    </row>
    <row r="46" ht="35.25" customHeight="1">
      <c r="A46" s="5">
        <v>45.0</v>
      </c>
      <c r="B46" s="14" t="s">
        <v>114</v>
      </c>
      <c r="C46" s="6" t="str">
        <f>IFERROR(__xludf.DUMMYFUNCTION("REGEXEXTRACT(B46, ""^[A-Z0-9-]+"")"),"BY-503")</f>
        <v>BY-503</v>
      </c>
      <c r="D46" s="14" t="s">
        <v>115</v>
      </c>
      <c r="E46" s="15" t="s">
        <v>10</v>
      </c>
      <c r="F46" s="14" t="s">
        <v>19</v>
      </c>
      <c r="G46" s="8" t="s">
        <v>39</v>
      </c>
      <c r="H46" s="5" t="str">
        <f>IFERROR(__xludf.DUMMYFUNCTION("REGEXEXTRACT(B46, ""\((\d+)\)"")"),"3")</f>
        <v>3</v>
      </c>
      <c r="I46" s="5"/>
      <c r="J46" s="5"/>
      <c r="K46" s="5"/>
      <c r="L46" s="5"/>
    </row>
    <row r="47" ht="35.25" customHeight="1">
      <c r="A47" s="5">
        <v>46.0</v>
      </c>
      <c r="B47" s="14" t="s">
        <v>116</v>
      </c>
      <c r="C47" s="6" t="str">
        <f>IFERROR(__xludf.DUMMYFUNCTION("REGEXEXTRACT(B47, ""^[A-Z0-9-]+"")"),"BY-504")</f>
        <v>BY-504</v>
      </c>
      <c r="D47" s="14" t="s">
        <v>117</v>
      </c>
      <c r="E47" s="15" t="s">
        <v>10</v>
      </c>
      <c r="F47" s="16" t="s">
        <v>19</v>
      </c>
      <c r="G47" s="8" t="s">
        <v>12</v>
      </c>
      <c r="H47" s="5" t="str">
        <f>IFERROR(__xludf.DUMMYFUNCTION("REGEXEXTRACT(B47, ""\((\d+)\)"")"),"3")</f>
        <v>3</v>
      </c>
      <c r="I47" s="5"/>
      <c r="J47" s="5"/>
      <c r="K47" s="5"/>
      <c r="L47" s="5"/>
    </row>
    <row r="48" ht="35.25" customHeight="1">
      <c r="A48" s="5">
        <v>47.0</v>
      </c>
      <c r="B48" s="14" t="s">
        <v>118</v>
      </c>
      <c r="C48" s="6" t="str">
        <f>IFERROR(__xludf.DUMMYFUNCTION("REGEXEXTRACT(B48, ""^[A-Z0-9-]+"")"),"BY-505")</f>
        <v>BY-505</v>
      </c>
      <c r="D48" s="14" t="s">
        <v>119</v>
      </c>
      <c r="E48" s="15" t="s">
        <v>10</v>
      </c>
      <c r="F48" s="14" t="s">
        <v>19</v>
      </c>
      <c r="G48" s="8" t="s">
        <v>16</v>
      </c>
      <c r="H48" s="5" t="str">
        <f>IFERROR(__xludf.DUMMYFUNCTION("REGEXEXTRACT(B48, ""\((\d+)\)"")"),"3")</f>
        <v>3</v>
      </c>
      <c r="I48" s="5"/>
      <c r="J48" s="5"/>
      <c r="K48" s="5"/>
      <c r="L48" s="5"/>
    </row>
    <row r="49" ht="35.25" customHeight="1">
      <c r="A49" s="5">
        <v>48.0</v>
      </c>
      <c r="B49" s="14" t="s">
        <v>120</v>
      </c>
      <c r="C49" s="6" t="str">
        <f>IFERROR(__xludf.DUMMYFUNCTION("REGEXEXTRACT(B49, ""^[A-Z0-9-]+"")"),"BY-506")</f>
        <v>BY-506</v>
      </c>
      <c r="D49" s="14" t="s">
        <v>121</v>
      </c>
      <c r="E49" s="15" t="s">
        <v>10</v>
      </c>
      <c r="F49" s="14" t="s">
        <v>19</v>
      </c>
      <c r="G49" s="8" t="s">
        <v>20</v>
      </c>
      <c r="H49" s="5" t="str">
        <f>IFERROR(__xludf.DUMMYFUNCTION("REGEXEXTRACT(B49, ""\((\d+)\)"")"),"3")</f>
        <v>3</v>
      </c>
      <c r="I49" s="5"/>
      <c r="J49" s="5"/>
      <c r="K49" s="5"/>
      <c r="L49" s="5"/>
    </row>
    <row r="50" ht="35.25" customHeight="1">
      <c r="A50" s="5">
        <v>49.0</v>
      </c>
      <c r="B50" s="14" t="s">
        <v>122</v>
      </c>
      <c r="C50" s="6" t="str">
        <f>IFERROR(__xludf.DUMMYFUNCTION("REGEXEXTRACT(B50, ""^[A-Z0-9-]+"")"),"BY-507")</f>
        <v>BY-507</v>
      </c>
      <c r="D50" s="14" t="s">
        <v>123</v>
      </c>
      <c r="E50" s="15" t="s">
        <v>10</v>
      </c>
      <c r="F50" s="14" t="s">
        <v>15</v>
      </c>
      <c r="G50" s="8" t="s">
        <v>24</v>
      </c>
      <c r="H50" s="5" t="str">
        <f>IFERROR(__xludf.DUMMYFUNCTION("REGEXEXTRACT(B50, ""\((\d+)\)"")"),"4")</f>
        <v>4</v>
      </c>
      <c r="I50" s="5"/>
      <c r="J50" s="5"/>
      <c r="K50" s="5"/>
      <c r="L50" s="5"/>
    </row>
    <row r="51" ht="35.25" customHeight="1">
      <c r="A51" s="5">
        <v>50.0</v>
      </c>
      <c r="B51" s="14" t="s">
        <v>124</v>
      </c>
      <c r="C51" s="6" t="str">
        <f>IFERROR(__xludf.DUMMYFUNCTION("REGEXEXTRACT(B51, ""^[A-Z0-9-]+"")"),"BY-508")</f>
        <v>BY-508</v>
      </c>
      <c r="D51" s="14" t="s">
        <v>125</v>
      </c>
      <c r="E51" s="15" t="s">
        <v>10</v>
      </c>
      <c r="F51" s="14" t="s">
        <v>126</v>
      </c>
      <c r="G51" s="8" t="s">
        <v>27</v>
      </c>
      <c r="H51" s="5" t="str">
        <f>IFERROR(__xludf.DUMMYFUNCTION("REGEXEXTRACT(B51, ""\((\d+)\)"")"),"3")</f>
        <v>3</v>
      </c>
      <c r="I51" s="5"/>
      <c r="J51" s="5"/>
      <c r="K51" s="5"/>
      <c r="L51" s="5"/>
    </row>
    <row r="52" ht="35.25" customHeight="1">
      <c r="A52" s="5">
        <v>51.0</v>
      </c>
      <c r="B52" s="14" t="s">
        <v>127</v>
      </c>
      <c r="C52" s="6" t="str">
        <f>IFERROR(__xludf.DUMMYFUNCTION("REGEXEXTRACT(B52, ""^[A-Z0-9-]+"")"),"BY")</f>
        <v>BY</v>
      </c>
      <c r="D52" s="6" t="s">
        <v>128</v>
      </c>
      <c r="E52" s="7" t="s">
        <v>10</v>
      </c>
      <c r="F52" s="14" t="s">
        <v>129</v>
      </c>
      <c r="G52" s="8" t="s">
        <v>30</v>
      </c>
      <c r="H52" s="5" t="str">
        <f>IFERROR(__xludf.DUMMYFUNCTION("REGEXEXTRACT(B52, ""\((\d+)\)"")"),"3")</f>
        <v>3</v>
      </c>
      <c r="I52" s="5"/>
      <c r="J52" s="5"/>
      <c r="K52" s="5"/>
      <c r="L52" s="5"/>
    </row>
    <row r="53" ht="35.25" customHeight="1">
      <c r="A53" s="5">
        <v>52.0</v>
      </c>
      <c r="B53" s="14" t="s">
        <v>130</v>
      </c>
      <c r="C53" s="6" t="str">
        <f>IFERROR(__xludf.DUMMYFUNCTION("REGEXEXTRACT(B53, ""^[A-Z0-9-]+"")"),"BY-510")</f>
        <v>BY-510</v>
      </c>
      <c r="D53" s="14" t="s">
        <v>131</v>
      </c>
      <c r="E53" s="15" t="s">
        <v>10</v>
      </c>
      <c r="F53" s="14" t="s">
        <v>19</v>
      </c>
      <c r="G53" s="8" t="s">
        <v>33</v>
      </c>
      <c r="H53" s="5" t="str">
        <f>IFERROR(__xludf.DUMMYFUNCTION("REGEXEXTRACT(B53, ""\((\d+)\)"")"),"3")</f>
        <v>3</v>
      </c>
      <c r="I53" s="5"/>
      <c r="J53" s="5"/>
      <c r="K53" s="5"/>
      <c r="L53" s="5"/>
    </row>
    <row r="54" ht="35.25" customHeight="1">
      <c r="A54" s="5">
        <v>53.0</v>
      </c>
      <c r="B54" s="14" t="s">
        <v>132</v>
      </c>
      <c r="C54" s="6" t="str">
        <f>IFERROR(__xludf.DUMMYFUNCTION("REGEXEXTRACT(B54, ""^[A-Z0-9-]+"")"),"BY-511")</f>
        <v>BY-511</v>
      </c>
      <c r="D54" s="14" t="s">
        <v>133</v>
      </c>
      <c r="E54" s="15" t="s">
        <v>10</v>
      </c>
      <c r="F54" s="14" t="s">
        <v>19</v>
      </c>
      <c r="G54" s="8" t="s">
        <v>36</v>
      </c>
      <c r="H54" s="5" t="str">
        <f>IFERROR(__xludf.DUMMYFUNCTION("REGEXEXTRACT(B54, ""\((\d+)\)"")"),"3")</f>
        <v>3</v>
      </c>
      <c r="I54" s="5"/>
      <c r="J54" s="5"/>
      <c r="K54" s="5"/>
      <c r="L54" s="5"/>
    </row>
    <row r="55" ht="35.25" customHeight="1">
      <c r="A55" s="5">
        <v>54.0</v>
      </c>
      <c r="B55" s="14" t="s">
        <v>134</v>
      </c>
      <c r="C55" s="6" t="str">
        <f>IFERROR(__xludf.DUMMYFUNCTION("REGEXEXTRACT(B55, ""^[A-Z0-9-]+"")"),"BY-512")</f>
        <v>BY-512</v>
      </c>
      <c r="D55" s="14" t="s">
        <v>135</v>
      </c>
      <c r="E55" s="15" t="s">
        <v>10</v>
      </c>
      <c r="F55" s="14" t="s">
        <v>19</v>
      </c>
      <c r="G55" s="8" t="s">
        <v>39</v>
      </c>
      <c r="H55" s="5" t="str">
        <f>IFERROR(__xludf.DUMMYFUNCTION("REGEXEXTRACT(B55, ""\((\d+)\)"")"),"3")</f>
        <v>3</v>
      </c>
      <c r="I55" s="5"/>
      <c r="J55" s="5"/>
      <c r="K55" s="5"/>
      <c r="L55" s="5"/>
    </row>
    <row r="56" ht="35.25" customHeight="1">
      <c r="A56" s="5">
        <v>55.0</v>
      </c>
      <c r="B56" s="14" t="s">
        <v>136</v>
      </c>
      <c r="C56" s="6" t="str">
        <f>IFERROR(__xludf.DUMMYFUNCTION("REGEXEXTRACT(B56, ""^[A-Z0-9-]+"")"),"BY-513")</f>
        <v>BY-513</v>
      </c>
      <c r="D56" s="14" t="s">
        <v>137</v>
      </c>
      <c r="E56" s="15" t="s">
        <v>10</v>
      </c>
      <c r="F56" s="14" t="s">
        <v>19</v>
      </c>
      <c r="G56" s="8" t="s">
        <v>12</v>
      </c>
      <c r="H56" s="5" t="str">
        <f>IFERROR(__xludf.DUMMYFUNCTION("REGEXEXTRACT(B56, ""\((\d+)\)"")"),"3")</f>
        <v>3</v>
      </c>
      <c r="I56" s="5"/>
      <c r="J56" s="5"/>
      <c r="K56" s="5"/>
      <c r="L56" s="5"/>
    </row>
    <row r="57" ht="35.25" customHeight="1">
      <c r="A57" s="5">
        <v>56.0</v>
      </c>
      <c r="B57" s="14" t="s">
        <v>138</v>
      </c>
      <c r="C57" s="6" t="str">
        <f>IFERROR(__xludf.DUMMYFUNCTION("REGEXEXTRACT(B57, ""^[A-Z0-9-]+"")"),"BY-514")</f>
        <v>BY-514</v>
      </c>
      <c r="D57" s="14" t="s">
        <v>139</v>
      </c>
      <c r="E57" s="15" t="s">
        <v>10</v>
      </c>
      <c r="F57" s="14" t="s">
        <v>19</v>
      </c>
      <c r="G57" s="8" t="s">
        <v>16</v>
      </c>
      <c r="H57" s="5" t="str">
        <f>IFERROR(__xludf.DUMMYFUNCTION("REGEXEXTRACT(B57, ""\((\d+)\)"")"),"3")</f>
        <v>3</v>
      </c>
      <c r="I57" s="5"/>
      <c r="J57" s="5"/>
      <c r="K57" s="5"/>
      <c r="L57" s="5"/>
    </row>
    <row r="58" ht="35.25" customHeight="1">
      <c r="A58" s="5">
        <v>57.0</v>
      </c>
      <c r="B58" s="14" t="s">
        <v>140</v>
      </c>
      <c r="C58" s="6" t="str">
        <f>IFERROR(__xludf.DUMMYFUNCTION("REGEXEXTRACT(B58, ""^[A-Z0-9-]+"")"),"BY-515")</f>
        <v>BY-515</v>
      </c>
      <c r="D58" s="14" t="s">
        <v>141</v>
      </c>
      <c r="E58" s="15" t="s">
        <v>10</v>
      </c>
      <c r="F58" s="14" t="s">
        <v>19</v>
      </c>
      <c r="G58" s="8" t="s">
        <v>20</v>
      </c>
      <c r="H58" s="5" t="str">
        <f>IFERROR(__xludf.DUMMYFUNCTION("REGEXEXTRACT(B58, ""\((\d+)\)"")"),"3")</f>
        <v>3</v>
      </c>
      <c r="I58" s="5"/>
      <c r="J58" s="5"/>
      <c r="K58" s="5"/>
      <c r="L58" s="5"/>
    </row>
    <row r="59" ht="35.25" customHeight="1">
      <c r="A59" s="5">
        <v>58.0</v>
      </c>
      <c r="B59" s="14" t="s">
        <v>142</v>
      </c>
      <c r="C59" s="6" t="str">
        <f>IFERROR(__xludf.DUMMYFUNCTION("REGEXEXTRACT(B59, ""^[A-Z0-9-]+"")"),"BY-516")</f>
        <v>BY-516</v>
      </c>
      <c r="D59" s="14" t="s">
        <v>143</v>
      </c>
      <c r="E59" s="15" t="s">
        <v>10</v>
      </c>
      <c r="F59" s="14" t="s">
        <v>19</v>
      </c>
      <c r="G59" s="8" t="s">
        <v>24</v>
      </c>
      <c r="H59" s="5" t="str">
        <f>IFERROR(__xludf.DUMMYFUNCTION("REGEXEXTRACT(B59, ""\((\d+)\)"")"),"3")</f>
        <v>3</v>
      </c>
      <c r="I59" s="5"/>
      <c r="J59" s="5"/>
      <c r="K59" s="5"/>
      <c r="L59" s="5"/>
    </row>
    <row r="60" ht="35.25" customHeight="1">
      <c r="A60" s="5">
        <v>59.0</v>
      </c>
      <c r="B60" s="14" t="s">
        <v>144</v>
      </c>
      <c r="C60" s="6" t="str">
        <f>IFERROR(__xludf.DUMMYFUNCTION("REGEXEXTRACT(B60, ""^[A-Z0-9-]+"")"),"BY-517")</f>
        <v>BY-517</v>
      </c>
      <c r="D60" s="14" t="s">
        <v>145</v>
      </c>
      <c r="E60" s="15" t="s">
        <v>10</v>
      </c>
      <c r="F60" s="14" t="s">
        <v>19</v>
      </c>
      <c r="G60" s="8" t="s">
        <v>27</v>
      </c>
      <c r="H60" s="5" t="str">
        <f>IFERROR(__xludf.DUMMYFUNCTION("REGEXEXTRACT(B60, ""\((\d+)\)"")"),"3")</f>
        <v>3</v>
      </c>
      <c r="I60" s="5"/>
      <c r="J60" s="5"/>
      <c r="K60" s="5"/>
      <c r="L60" s="5"/>
    </row>
    <row r="61" ht="35.25" customHeight="1">
      <c r="A61" s="5">
        <v>60.0</v>
      </c>
      <c r="B61" s="14" t="s">
        <v>146</v>
      </c>
      <c r="C61" s="6" t="str">
        <f>IFERROR(__xludf.DUMMYFUNCTION("REGEXEXTRACT(B61, ""^[A-Z0-9-]+"")"),"BY")</f>
        <v>BY</v>
      </c>
      <c r="D61" s="14" t="s">
        <v>147</v>
      </c>
      <c r="E61" s="15" t="s">
        <v>10</v>
      </c>
      <c r="F61" s="14" t="s">
        <v>19</v>
      </c>
      <c r="G61" s="8" t="s">
        <v>30</v>
      </c>
      <c r="H61" s="5" t="str">
        <f>IFERROR(__xludf.DUMMYFUNCTION("REGEXEXTRACT(B61, ""\((\d+)\)"")"),"3")</f>
        <v>3</v>
      </c>
      <c r="I61" s="5"/>
      <c r="J61" s="5"/>
      <c r="K61" s="5"/>
      <c r="L61" s="5"/>
    </row>
    <row r="62" ht="35.25" customHeight="1">
      <c r="A62" s="5">
        <v>61.0</v>
      </c>
      <c r="B62" s="14" t="s">
        <v>148</v>
      </c>
      <c r="C62" s="6" t="str">
        <f>IFERROR(__xludf.DUMMYFUNCTION("REGEXEXTRACT(B62, ""^[A-Z0-9-]+"")"),"BY-518")</f>
        <v>BY-518</v>
      </c>
      <c r="D62" s="14" t="s">
        <v>149</v>
      </c>
      <c r="E62" s="15" t="s">
        <v>10</v>
      </c>
      <c r="F62" s="14" t="s">
        <v>19</v>
      </c>
      <c r="G62" s="8" t="s">
        <v>33</v>
      </c>
      <c r="H62" s="5" t="str">
        <f>IFERROR(__xludf.DUMMYFUNCTION("REGEXEXTRACT(B62, ""\((\d+)\)"")"),"3")</f>
        <v>3</v>
      </c>
      <c r="I62" s="5"/>
      <c r="J62" s="5"/>
      <c r="K62" s="5"/>
      <c r="L62" s="5"/>
    </row>
    <row r="63" ht="35.25" customHeight="1">
      <c r="A63" s="5">
        <v>62.0</v>
      </c>
      <c r="B63" s="14" t="s">
        <v>150</v>
      </c>
      <c r="C63" s="6" t="str">
        <f>IFERROR(__xludf.DUMMYFUNCTION("REGEXEXTRACT(B63, ""^[A-Z0-9-]+"")"),"BY-519")</f>
        <v>BY-519</v>
      </c>
      <c r="D63" s="14" t="s">
        <v>151</v>
      </c>
      <c r="E63" s="15" t="s">
        <v>10</v>
      </c>
      <c r="F63" s="14" t="s">
        <v>19</v>
      </c>
      <c r="G63" s="8" t="s">
        <v>36</v>
      </c>
      <c r="H63" s="5" t="str">
        <f>IFERROR(__xludf.DUMMYFUNCTION("REGEXEXTRACT(B63, ""\((\d+)\)"")"),"3")</f>
        <v>3</v>
      </c>
      <c r="I63" s="5"/>
      <c r="J63" s="5"/>
      <c r="K63" s="5"/>
      <c r="L63" s="5"/>
    </row>
    <row r="64" ht="35.25" customHeight="1">
      <c r="A64" s="5">
        <v>63.0</v>
      </c>
      <c r="B64" s="14" t="s">
        <v>152</v>
      </c>
      <c r="C64" s="6" t="str">
        <f>IFERROR(__xludf.DUMMYFUNCTION("REGEXEXTRACT(B64, ""^[A-Z0-9-]+"")"),"BY-520P")</f>
        <v>BY-520P</v>
      </c>
      <c r="D64" s="14" t="s">
        <v>153</v>
      </c>
      <c r="E64" s="15" t="s">
        <v>10</v>
      </c>
      <c r="F64" s="14" t="s">
        <v>82</v>
      </c>
      <c r="G64" s="8" t="s">
        <v>39</v>
      </c>
      <c r="H64" s="5" t="str">
        <f>IFERROR(__xludf.DUMMYFUNCTION("REGEXEXTRACT(B64, ""\((\d+)\)"")"),"1")</f>
        <v>1</v>
      </c>
      <c r="I64" s="5"/>
      <c r="J64" s="5"/>
      <c r="K64" s="5"/>
      <c r="L64" s="5"/>
    </row>
    <row r="65" ht="35.25" customHeight="1">
      <c r="A65" s="5">
        <v>64.0</v>
      </c>
      <c r="B65" s="14" t="s">
        <v>154</v>
      </c>
      <c r="C65" s="6" t="str">
        <f>IFERROR(__xludf.DUMMYFUNCTION("REGEXEXTRACT(B65, ""^[A-Z0-9-]+"")"),"BY-521P")</f>
        <v>BY-521P</v>
      </c>
      <c r="D65" s="14" t="s">
        <v>155</v>
      </c>
      <c r="E65" s="15" t="s">
        <v>10</v>
      </c>
      <c r="F65" s="14" t="s">
        <v>82</v>
      </c>
      <c r="G65" s="8" t="s">
        <v>12</v>
      </c>
      <c r="H65" s="5" t="str">
        <f>IFERROR(__xludf.DUMMYFUNCTION("REGEXEXTRACT(B65, ""\((\d+)\)"")"),"1")</f>
        <v>1</v>
      </c>
      <c r="I65" s="5"/>
      <c r="J65" s="5"/>
      <c r="K65" s="5"/>
      <c r="L65" s="5"/>
    </row>
    <row r="66" ht="35.25" customHeight="1">
      <c r="A66" s="5">
        <v>65.0</v>
      </c>
      <c r="B66" s="14" t="s">
        <v>156</v>
      </c>
      <c r="C66" s="6" t="str">
        <f>IFERROR(__xludf.DUMMYFUNCTION("REGEXEXTRACT(B66, ""^[A-Z0-9-]+"")"),"BY-522P")</f>
        <v>BY-522P</v>
      </c>
      <c r="D66" s="14" t="s">
        <v>157</v>
      </c>
      <c r="E66" s="15" t="s">
        <v>10</v>
      </c>
      <c r="F66" s="14" t="s">
        <v>82</v>
      </c>
      <c r="G66" s="8" t="s">
        <v>16</v>
      </c>
      <c r="H66" s="5" t="str">
        <f>IFERROR(__xludf.DUMMYFUNCTION("REGEXEXTRACT(B66, ""\((\d+)\)"")"),"1")</f>
        <v>1</v>
      </c>
      <c r="I66" s="5"/>
      <c r="J66" s="5"/>
      <c r="K66" s="5"/>
      <c r="L66" s="5"/>
    </row>
    <row r="67" ht="35.25" customHeight="1">
      <c r="A67" s="5">
        <v>66.0</v>
      </c>
      <c r="B67" s="14" t="s">
        <v>158</v>
      </c>
      <c r="C67" s="6" t="str">
        <f>IFERROR(__xludf.DUMMYFUNCTION("REGEXEXTRACT(B67, ""^[A-Z0-9-]+"")"),"BY-523P")</f>
        <v>BY-523P</v>
      </c>
      <c r="D67" s="14" t="s">
        <v>159</v>
      </c>
      <c r="E67" s="15" t="s">
        <v>10</v>
      </c>
      <c r="F67" s="14" t="s">
        <v>82</v>
      </c>
      <c r="G67" s="8" t="s">
        <v>20</v>
      </c>
      <c r="H67" s="5" t="str">
        <f>IFERROR(__xludf.DUMMYFUNCTION("REGEXEXTRACT(B67, ""\((\d+)\)"")"),"1")</f>
        <v>1</v>
      </c>
      <c r="I67" s="5"/>
      <c r="J67" s="5"/>
      <c r="K67" s="5"/>
      <c r="L67" s="5"/>
    </row>
    <row r="68" ht="35.25" customHeight="1">
      <c r="A68" s="5">
        <v>67.0</v>
      </c>
      <c r="B68" s="14" t="s">
        <v>160</v>
      </c>
      <c r="C68" s="6" t="str">
        <f>IFERROR(__xludf.DUMMYFUNCTION("REGEXEXTRACT(B68, ""^[A-Z0-9-]+"")"),"BY-524P")</f>
        <v>BY-524P</v>
      </c>
      <c r="D68" s="14" t="s">
        <v>161</v>
      </c>
      <c r="E68" s="15" t="s">
        <v>10</v>
      </c>
      <c r="F68" s="14" t="s">
        <v>82</v>
      </c>
      <c r="G68" s="8" t="s">
        <v>24</v>
      </c>
      <c r="H68" s="5" t="str">
        <f>IFERROR(__xludf.DUMMYFUNCTION("REGEXEXTRACT(B68, ""\((\d+)\)"")"),"1")</f>
        <v>1</v>
      </c>
      <c r="I68" s="5"/>
      <c r="J68" s="5"/>
      <c r="K68" s="5"/>
      <c r="L68" s="5"/>
    </row>
    <row r="69" ht="35.25" customHeight="1">
      <c r="A69" s="5">
        <v>68.0</v>
      </c>
      <c r="B69" s="14" t="s">
        <v>162</v>
      </c>
      <c r="C69" s="6" t="str">
        <f>IFERROR(__xludf.DUMMYFUNCTION("REGEXEXTRACT(B69, ""^[A-Z0-9-]+"")"),"BY-525")</f>
        <v>BY-525</v>
      </c>
      <c r="D69" s="14" t="s">
        <v>163</v>
      </c>
      <c r="E69" s="15" t="s">
        <v>87</v>
      </c>
      <c r="F69" s="14" t="s">
        <v>164</v>
      </c>
      <c r="G69" s="8" t="s">
        <v>27</v>
      </c>
      <c r="H69" s="5" t="str">
        <f>IFERROR(__xludf.DUMMYFUNCTION("REGEXEXTRACT(B69, ""\((\d+)\)"")"),"1")</f>
        <v>1</v>
      </c>
      <c r="I69" s="5"/>
      <c r="J69" s="5"/>
      <c r="K69" s="5"/>
      <c r="L69" s="5"/>
    </row>
    <row r="70" ht="35.25" customHeight="1">
      <c r="A70" s="5">
        <v>69.0</v>
      </c>
      <c r="B70" s="14" t="s">
        <v>165</v>
      </c>
      <c r="C70" s="6" t="str">
        <f>IFERROR(__xludf.DUMMYFUNCTION("REGEXEXTRACT(B70, ""^[A-Z0-9-]+"")"),"BY-526")</f>
        <v>BY-526</v>
      </c>
      <c r="D70" s="14" t="s">
        <v>166</v>
      </c>
      <c r="E70" s="15" t="s">
        <v>87</v>
      </c>
      <c r="F70" s="14" t="s">
        <v>167</v>
      </c>
      <c r="G70" s="8" t="s">
        <v>30</v>
      </c>
      <c r="H70" s="5" t="str">
        <f>IFERROR(__xludf.DUMMYFUNCTION("REGEXEXTRACT(B70, ""\((\d+)\)"")"),"1")</f>
        <v>1</v>
      </c>
      <c r="I70" s="5"/>
      <c r="J70" s="5"/>
      <c r="K70" s="5"/>
      <c r="L70" s="5"/>
    </row>
    <row r="71" ht="35.25" customHeight="1">
      <c r="A71" s="5">
        <v>70.0</v>
      </c>
      <c r="B71" s="14" t="s">
        <v>168</v>
      </c>
      <c r="C71" s="6" t="str">
        <f>IFERROR(__xludf.DUMMYFUNCTION("REGEXEXTRACT(B71, ""^[A-Z0-9-]+"")"),"BY-527")</f>
        <v>BY-527</v>
      </c>
      <c r="D71" s="14" t="s">
        <v>169</v>
      </c>
      <c r="E71" s="15" t="s">
        <v>10</v>
      </c>
      <c r="F71" s="14" t="s">
        <v>19</v>
      </c>
      <c r="G71" s="8" t="s">
        <v>33</v>
      </c>
      <c r="H71" s="5" t="str">
        <f>IFERROR(__xludf.DUMMYFUNCTION("REGEXEXTRACT(B71, ""\((\d+)\)"")"),"3")</f>
        <v>3</v>
      </c>
      <c r="I71" s="5"/>
      <c r="J71" s="5"/>
      <c r="K71" s="5"/>
      <c r="L71" s="5"/>
    </row>
    <row r="72" ht="35.25" customHeight="1">
      <c r="A72" s="5">
        <v>71.0</v>
      </c>
      <c r="B72" s="9" t="s">
        <v>170</v>
      </c>
      <c r="C72" s="6" t="str">
        <f>IFERROR(__xludf.DUMMYFUNCTION("REGEXEXTRACT(B72, ""^[A-Z0-9-]+"")"),"BY-528")</f>
        <v>BY-528</v>
      </c>
      <c r="D72" s="9" t="s">
        <v>171</v>
      </c>
      <c r="E72" s="10" t="s">
        <v>10</v>
      </c>
      <c r="F72" s="21" t="s">
        <v>19</v>
      </c>
      <c r="G72" s="8" t="s">
        <v>36</v>
      </c>
      <c r="H72" s="5" t="str">
        <f>IFERROR(__xludf.DUMMYFUNCTION("REGEXEXTRACT(B72, ""\((\d+)\)"")"),"3")</f>
        <v>3</v>
      </c>
      <c r="I72" s="5"/>
      <c r="J72" s="5"/>
      <c r="K72" s="5"/>
      <c r="L72" s="5"/>
    </row>
    <row r="73" ht="35.25" customHeight="1">
      <c r="A73" s="5">
        <v>72.0</v>
      </c>
      <c r="B73" s="14" t="s">
        <v>172</v>
      </c>
      <c r="C73" s="6" t="str">
        <f>IFERROR(__xludf.DUMMYFUNCTION("REGEXEXTRACT(B73, ""^[A-Z0-9-]+"")"),"BY-529")</f>
        <v>BY-529</v>
      </c>
      <c r="D73" s="22" t="s">
        <v>173</v>
      </c>
      <c r="E73" s="23" t="s">
        <v>10</v>
      </c>
      <c r="F73" s="11" t="s">
        <v>19</v>
      </c>
      <c r="G73" s="8" t="s">
        <v>39</v>
      </c>
      <c r="H73" s="5" t="str">
        <f>IFERROR(__xludf.DUMMYFUNCTION("REGEXEXTRACT(B73, ""\((\d+)\)"")"),"3")</f>
        <v>3</v>
      </c>
      <c r="I73" s="5"/>
      <c r="J73" s="5"/>
      <c r="K73" s="5"/>
      <c r="L73" s="5"/>
    </row>
    <row r="74" ht="35.25" customHeight="1">
      <c r="A74" s="5">
        <v>73.0</v>
      </c>
      <c r="B74" s="9" t="s">
        <v>174</v>
      </c>
      <c r="C74" s="6" t="str">
        <f>IFERROR(__xludf.DUMMYFUNCTION("REGEXEXTRACT(B74, ""^[A-Z0-9-]+"")"),"BY-530")</f>
        <v>BY-530</v>
      </c>
      <c r="D74" s="9" t="s">
        <v>175</v>
      </c>
      <c r="E74" s="10" t="s">
        <v>10</v>
      </c>
      <c r="F74" s="21" t="s">
        <v>19</v>
      </c>
      <c r="G74" s="8" t="s">
        <v>12</v>
      </c>
      <c r="H74" s="5" t="str">
        <f>IFERROR(__xludf.DUMMYFUNCTION("REGEXEXTRACT(B74, ""\((\d+)\)"")"),"3")</f>
        <v>3</v>
      </c>
      <c r="I74" s="5"/>
      <c r="J74" s="5"/>
      <c r="K74" s="5"/>
      <c r="L74" s="5"/>
    </row>
    <row r="75" ht="35.25" customHeight="1">
      <c r="A75" s="5">
        <v>74.0</v>
      </c>
      <c r="B75" s="9" t="s">
        <v>176</v>
      </c>
      <c r="C75" s="6" t="str">
        <f>IFERROR(__xludf.DUMMYFUNCTION("REGEXEXTRACT(B75, ""^[A-Z0-9-]+"")"),"BY-531")</f>
        <v>BY-531</v>
      </c>
      <c r="D75" s="9" t="s">
        <v>177</v>
      </c>
      <c r="E75" s="10" t="s">
        <v>10</v>
      </c>
      <c r="F75" s="21" t="s">
        <v>19</v>
      </c>
      <c r="G75" s="8" t="s">
        <v>16</v>
      </c>
      <c r="H75" s="5" t="str">
        <f>IFERROR(__xludf.DUMMYFUNCTION("REGEXEXTRACT(B75, ""\((\d+)\)"")"),"3")</f>
        <v>3</v>
      </c>
      <c r="I75" s="5"/>
      <c r="J75" s="5"/>
      <c r="K75" s="5"/>
      <c r="L75" s="5"/>
    </row>
    <row r="76" ht="35.25" customHeight="1">
      <c r="A76" s="5">
        <v>75.0</v>
      </c>
      <c r="B76" s="9" t="s">
        <v>178</v>
      </c>
      <c r="C76" s="6" t="str">
        <f>IFERROR(__xludf.DUMMYFUNCTION("REGEXEXTRACT(B76, ""^[A-Z0-9-]+"")"),"BY-532")</f>
        <v>BY-532</v>
      </c>
      <c r="D76" s="9" t="s">
        <v>179</v>
      </c>
      <c r="E76" s="10" t="s">
        <v>10</v>
      </c>
      <c r="F76" s="21" t="s">
        <v>19</v>
      </c>
      <c r="G76" s="8" t="s">
        <v>20</v>
      </c>
      <c r="H76" s="5" t="str">
        <f>IFERROR(__xludf.DUMMYFUNCTION("REGEXEXTRACT(B76, ""\((\d+)\)"")"),"3")</f>
        <v>3</v>
      </c>
      <c r="I76" s="5"/>
      <c r="J76" s="5"/>
      <c r="K76" s="5"/>
      <c r="L76" s="5"/>
    </row>
    <row r="77" ht="35.25" customHeight="1">
      <c r="A77" s="5">
        <v>76.0</v>
      </c>
      <c r="B77" s="9" t="s">
        <v>180</v>
      </c>
      <c r="C77" s="6" t="str">
        <f>IFERROR(__xludf.DUMMYFUNCTION("REGEXEXTRACT(B77, ""^[A-Z0-9-]+"")"),"BY-533P")</f>
        <v>BY-533P</v>
      </c>
      <c r="D77" s="9" t="s">
        <v>181</v>
      </c>
      <c r="E77" s="10" t="s">
        <v>10</v>
      </c>
      <c r="F77" s="21" t="s">
        <v>82</v>
      </c>
      <c r="G77" s="8" t="s">
        <v>24</v>
      </c>
      <c r="H77" s="5" t="str">
        <f>IFERROR(__xludf.DUMMYFUNCTION("REGEXEXTRACT(B77, ""\((\d+)\)"")"),"1")</f>
        <v>1</v>
      </c>
      <c r="I77" s="5"/>
      <c r="J77" s="5"/>
      <c r="K77" s="5"/>
      <c r="L77" s="5"/>
    </row>
    <row r="78" ht="35.25" customHeight="1">
      <c r="A78" s="5">
        <v>77.0</v>
      </c>
      <c r="B78" s="9" t="s">
        <v>182</v>
      </c>
      <c r="C78" s="6" t="str">
        <f>IFERROR(__xludf.DUMMYFUNCTION("REGEXEXTRACT(B78, ""^[A-Z0-9-]+"")"),"BY-534P")</f>
        <v>BY-534P</v>
      </c>
      <c r="D78" s="9" t="s">
        <v>183</v>
      </c>
      <c r="E78" s="10" t="s">
        <v>10</v>
      </c>
      <c r="F78" s="21" t="s">
        <v>82</v>
      </c>
      <c r="G78" s="8" t="s">
        <v>27</v>
      </c>
      <c r="H78" s="5" t="str">
        <f>IFERROR(__xludf.DUMMYFUNCTION("REGEXEXTRACT(B78, ""\((\d+)\)"")"),"1")</f>
        <v>1</v>
      </c>
      <c r="I78" s="5"/>
      <c r="J78" s="5"/>
      <c r="K78" s="5"/>
      <c r="L78" s="5"/>
    </row>
    <row r="79" ht="35.25" customHeight="1">
      <c r="A79" s="5">
        <v>78.0</v>
      </c>
      <c r="B79" s="9" t="s">
        <v>184</v>
      </c>
      <c r="C79" s="6" t="str">
        <f>IFERROR(__xludf.DUMMYFUNCTION("REGEXEXTRACT(B79, ""^[A-Z0-9-]+"")"),"BY-535P")</f>
        <v>BY-535P</v>
      </c>
      <c r="D79" s="9" t="s">
        <v>185</v>
      </c>
      <c r="E79" s="10" t="s">
        <v>10</v>
      </c>
      <c r="F79" s="21" t="s">
        <v>82</v>
      </c>
      <c r="G79" s="8" t="s">
        <v>30</v>
      </c>
      <c r="H79" s="5" t="str">
        <f>IFERROR(__xludf.DUMMYFUNCTION("REGEXEXTRACT(B79, ""\((\d+)\)"")"),"1")</f>
        <v>1</v>
      </c>
      <c r="I79" s="5"/>
      <c r="J79" s="5"/>
      <c r="K79" s="5"/>
      <c r="L79" s="5"/>
    </row>
    <row r="80" ht="35.25" customHeight="1">
      <c r="A80" s="5">
        <v>79.0</v>
      </c>
      <c r="B80" s="9" t="s">
        <v>186</v>
      </c>
      <c r="C80" s="6" t="str">
        <f>IFERROR(__xludf.DUMMYFUNCTION("REGEXEXTRACT(B80, ""^[A-Z0-9-]+"")"),"BY-536P")</f>
        <v>BY-536P</v>
      </c>
      <c r="D80" s="9" t="s">
        <v>187</v>
      </c>
      <c r="E80" s="10" t="s">
        <v>10</v>
      </c>
      <c r="F80" s="21" t="s">
        <v>82</v>
      </c>
      <c r="G80" s="8" t="s">
        <v>33</v>
      </c>
      <c r="H80" s="5" t="str">
        <f>IFERROR(__xludf.DUMMYFUNCTION("REGEXEXTRACT(B80, ""\((\d+)\)"")"),"1")</f>
        <v>1</v>
      </c>
      <c r="I80" s="5"/>
      <c r="J80" s="5"/>
      <c r="K80" s="5"/>
      <c r="L80" s="5"/>
    </row>
    <row r="81" ht="35.25" customHeight="1">
      <c r="A81" s="5">
        <v>80.0</v>
      </c>
      <c r="B81" s="9" t="s">
        <v>188</v>
      </c>
      <c r="C81" s="6" t="str">
        <f>IFERROR(__xludf.DUMMYFUNCTION("REGEXEXTRACT(B81, ""^[A-Z0-9-]+"")"),"BY-537")</f>
        <v>BY-537</v>
      </c>
      <c r="D81" s="9" t="s">
        <v>189</v>
      </c>
      <c r="E81" s="10" t="s">
        <v>10</v>
      </c>
      <c r="F81" s="21" t="s">
        <v>15</v>
      </c>
      <c r="G81" s="8" t="s">
        <v>36</v>
      </c>
      <c r="H81" s="5" t="str">
        <f>IFERROR(__xludf.DUMMYFUNCTION("REGEXEXTRACT(B81, ""\((\d+)\)"")"),"4")</f>
        <v>4</v>
      </c>
      <c r="I81" s="5"/>
      <c r="J81" s="5"/>
      <c r="K81" s="5"/>
      <c r="L81" s="5"/>
    </row>
    <row r="82" ht="35.25" customHeight="1">
      <c r="A82" s="5">
        <v>81.0</v>
      </c>
      <c r="B82" s="14" t="s">
        <v>190</v>
      </c>
      <c r="C82" s="6" t="str">
        <f>IFERROR(__xludf.DUMMYFUNCTION("REGEXEXTRACT(B82, ""^[A-Z0-9-]+"")"),"BY-598")</f>
        <v>BY-598</v>
      </c>
      <c r="D82" s="14" t="s">
        <v>106</v>
      </c>
      <c r="E82" s="15" t="s">
        <v>87</v>
      </c>
      <c r="F82" s="14" t="s">
        <v>191</v>
      </c>
      <c r="G82" s="8" t="s">
        <v>39</v>
      </c>
      <c r="H82" s="5" t="str">
        <f>IFERROR(__xludf.DUMMYFUNCTION("REGEXEXTRACT(B82, ""\((\d+)\)"")"),"16")</f>
        <v>16</v>
      </c>
      <c r="I82" s="5"/>
      <c r="J82" s="5"/>
      <c r="K82" s="5"/>
      <c r="L82" s="5"/>
    </row>
    <row r="83" ht="35.25" customHeight="1">
      <c r="A83" s="5">
        <v>82.0</v>
      </c>
      <c r="B83" s="14" t="s">
        <v>192</v>
      </c>
      <c r="C83" s="6" t="str">
        <f>IFERROR(__xludf.DUMMYFUNCTION("REGEXEXTRACT(B83, ""^[A-Z0-9-]+"")"),"BY-599")</f>
        <v>BY-599</v>
      </c>
      <c r="D83" s="14" t="s">
        <v>109</v>
      </c>
      <c r="E83" s="15" t="s">
        <v>87</v>
      </c>
      <c r="F83" s="14" t="s">
        <v>107</v>
      </c>
      <c r="G83" s="8" t="s">
        <v>12</v>
      </c>
      <c r="H83" s="5" t="str">
        <f>IFERROR(__xludf.DUMMYFUNCTION("REGEXEXTRACT(B83, ""\((\d+)\)"")"),"17")</f>
        <v>17</v>
      </c>
      <c r="I83" s="5"/>
      <c r="J83" s="5"/>
      <c r="K83" s="5"/>
      <c r="L83" s="5"/>
    </row>
    <row r="84" ht="35.25" customHeight="1">
      <c r="A84" s="5">
        <v>83.0</v>
      </c>
      <c r="B84" s="11" t="s">
        <v>193</v>
      </c>
      <c r="C84" s="6" t="str">
        <f>IFERROR(__xludf.DUMMYFUNCTION("REGEXEXTRACT(B84, ""^[A-Z0-9-]+"")"),"BY-600")</f>
        <v>BY-600</v>
      </c>
      <c r="D84" s="22" t="s">
        <v>194</v>
      </c>
      <c r="E84" s="23" t="s">
        <v>10</v>
      </c>
      <c r="F84" s="11" t="s">
        <v>77</v>
      </c>
      <c r="G84" s="8" t="s">
        <v>16</v>
      </c>
      <c r="H84" s="5" t="str">
        <f>IFERROR(__xludf.DUMMYFUNCTION("REGEXEXTRACT(B84, ""\((\d+)\)"")"),"1")</f>
        <v>1</v>
      </c>
      <c r="I84" s="5"/>
      <c r="J84" s="5"/>
      <c r="K84" s="5"/>
      <c r="L84" s="5"/>
    </row>
    <row r="85" ht="35.25" customHeight="1">
      <c r="A85" s="5">
        <v>84.0</v>
      </c>
      <c r="B85" s="14" t="s">
        <v>195</v>
      </c>
      <c r="C85" s="6" t="str">
        <f>IFERROR(__xludf.DUMMYFUNCTION("REGEXEXTRACT(B85, ""^[A-Z0-9-]+"")"),"BY-606")</f>
        <v>BY-606</v>
      </c>
      <c r="D85" s="14" t="s">
        <v>196</v>
      </c>
      <c r="E85" s="15" t="s">
        <v>10</v>
      </c>
      <c r="F85" s="14" t="s">
        <v>23</v>
      </c>
      <c r="G85" s="8" t="s">
        <v>20</v>
      </c>
      <c r="H85" s="5" t="str">
        <f>IFERROR(__xludf.DUMMYFUNCTION("REGEXEXTRACT(B85, ""\((\d+)\)"")"),"3")</f>
        <v>3</v>
      </c>
      <c r="I85" s="5"/>
      <c r="J85" s="5"/>
      <c r="K85" s="5"/>
      <c r="L85" s="5"/>
    </row>
    <row r="86" ht="35.25" customHeight="1">
      <c r="A86" s="5">
        <v>85.0</v>
      </c>
      <c r="B86" s="14" t="s">
        <v>197</v>
      </c>
      <c r="C86" s="6" t="str">
        <f>IFERROR(__xludf.DUMMYFUNCTION("REGEXEXTRACT(B86, ""^[A-Z0-9-]+"")"),"BY-606")</f>
        <v>BY-606</v>
      </c>
      <c r="D86" s="14" t="s">
        <v>196</v>
      </c>
      <c r="E86" s="15" t="s">
        <v>10</v>
      </c>
      <c r="F86" s="14" t="s">
        <v>23</v>
      </c>
      <c r="G86" s="8" t="s">
        <v>24</v>
      </c>
      <c r="H86" s="5" t="str">
        <f>IFERROR(__xludf.DUMMYFUNCTION("REGEXEXTRACT(B86, ""\((\d+)\)"")"),"#N/A")</f>
        <v>#N/A</v>
      </c>
      <c r="I86" s="5"/>
      <c r="J86" s="5"/>
      <c r="K86" s="5"/>
      <c r="L86" s="5"/>
    </row>
    <row r="87" ht="35.25" customHeight="1">
      <c r="A87" s="5">
        <v>86.0</v>
      </c>
      <c r="B87" s="14" t="s">
        <v>198</v>
      </c>
      <c r="C87" s="6" t="str">
        <f>IFERROR(__xludf.DUMMYFUNCTION("REGEXEXTRACT(B87, ""^[A-Z0-9-]+"")"),"BY-613")</f>
        <v>BY-613</v>
      </c>
      <c r="D87" s="14" t="s">
        <v>199</v>
      </c>
      <c r="E87" s="15" t="s">
        <v>10</v>
      </c>
      <c r="F87" s="14" t="s">
        <v>19</v>
      </c>
      <c r="G87" s="8" t="s">
        <v>27</v>
      </c>
      <c r="H87" s="5" t="str">
        <f>IFERROR(__xludf.DUMMYFUNCTION("REGEXEXTRACT(B87, ""\((\d+)\)"")"),"3")</f>
        <v>3</v>
      </c>
      <c r="I87" s="5"/>
      <c r="J87" s="5"/>
      <c r="K87" s="5"/>
      <c r="L87" s="5"/>
    </row>
    <row r="88" ht="35.25" customHeight="1">
      <c r="A88" s="5">
        <v>87.0</v>
      </c>
      <c r="B88" s="14" t="s">
        <v>200</v>
      </c>
      <c r="C88" s="6" t="str">
        <f>IFERROR(__xludf.DUMMYFUNCTION("REGEXEXTRACT(B88, ""^[A-Z0-9-]+"")"),"BY-698P")</f>
        <v>BY-698P</v>
      </c>
      <c r="D88" s="14" t="s">
        <v>201</v>
      </c>
      <c r="E88" s="15" t="s">
        <v>87</v>
      </c>
      <c r="F88" s="14" t="s">
        <v>191</v>
      </c>
      <c r="G88" s="8" t="s">
        <v>30</v>
      </c>
      <c r="H88" s="5" t="str">
        <f>IFERROR(__xludf.DUMMYFUNCTION("REGEXEXTRACT(B88, ""\((\d+)\)"")"),"16")</f>
        <v>16</v>
      </c>
      <c r="I88" s="5"/>
      <c r="J88" s="5"/>
      <c r="K88" s="5"/>
      <c r="L88" s="5"/>
    </row>
    <row r="89" ht="35.25" customHeight="1">
      <c r="A89" s="5">
        <v>88.0</v>
      </c>
      <c r="B89" s="14" t="s">
        <v>202</v>
      </c>
      <c r="C89" s="6" t="str">
        <f>IFERROR(__xludf.DUMMYFUNCTION("REGEXEXTRACT(B89, ""^[A-Z0-9-]+"")"),"BY-699P")</f>
        <v>BY-699P</v>
      </c>
      <c r="D89" s="14" t="s">
        <v>203</v>
      </c>
      <c r="E89" s="15" t="s">
        <v>87</v>
      </c>
      <c r="F89" s="14" t="s">
        <v>107</v>
      </c>
      <c r="G89" s="8" t="s">
        <v>33</v>
      </c>
      <c r="H89" s="5" t="str">
        <f>IFERROR(__xludf.DUMMYFUNCTION("REGEXEXTRACT(B89, ""\((\d+)\)"")"),"17")</f>
        <v>17</v>
      </c>
      <c r="I89" s="5"/>
      <c r="J89" s="5"/>
      <c r="K89" s="5"/>
      <c r="L89" s="5"/>
    </row>
    <row r="90" ht="35.25" customHeight="1">
      <c r="A90" s="5">
        <v>89.0</v>
      </c>
      <c r="B90" s="14" t="s">
        <v>204</v>
      </c>
      <c r="C90" s="6" t="str">
        <f>IFERROR(__xludf.DUMMYFUNCTION("REGEXEXTRACT(B90, ""^[A-Z0-9-]+"")"),"CE-201")</f>
        <v>CE-201</v>
      </c>
      <c r="D90" s="14" t="s">
        <v>205</v>
      </c>
      <c r="E90" s="15" t="s">
        <v>10</v>
      </c>
      <c r="F90" s="14" t="s">
        <v>23</v>
      </c>
      <c r="G90" s="8" t="s">
        <v>36</v>
      </c>
      <c r="H90" s="5" t="str">
        <f>IFERROR(__xludf.DUMMYFUNCTION("REGEXEXTRACT(B90, ""\((\d+)\)"")"),"3")</f>
        <v>3</v>
      </c>
      <c r="I90" s="5"/>
      <c r="J90" s="5"/>
      <c r="K90" s="5"/>
      <c r="L90" s="5"/>
    </row>
    <row r="91" ht="35.25" customHeight="1">
      <c r="A91" s="5">
        <v>90.0</v>
      </c>
      <c r="B91" s="22" t="s">
        <v>206</v>
      </c>
      <c r="C91" s="6" t="str">
        <f>IFERROR(__xludf.DUMMYFUNCTION("REGEXEXTRACT(B91, ""^[A-Z0-9-]+"")"),"CE-202")</f>
        <v>CE-202</v>
      </c>
      <c r="D91" s="22" t="s">
        <v>207</v>
      </c>
      <c r="E91" s="23" t="s">
        <v>10</v>
      </c>
      <c r="F91" s="22" t="s">
        <v>77</v>
      </c>
      <c r="G91" s="8" t="s">
        <v>39</v>
      </c>
      <c r="H91" s="5" t="str">
        <f>IFERROR(__xludf.DUMMYFUNCTION("REGEXEXTRACT(B91, ""\((\d+)\)"")"),"1")</f>
        <v>1</v>
      </c>
      <c r="I91" s="5"/>
      <c r="J91" s="5"/>
      <c r="K91" s="5"/>
      <c r="L91" s="5"/>
    </row>
    <row r="92" ht="35.25" customHeight="1">
      <c r="A92" s="5">
        <v>91.0</v>
      </c>
      <c r="B92" s="22" t="s">
        <v>208</v>
      </c>
      <c r="C92" s="6" t="str">
        <f>IFERROR(__xludf.DUMMYFUNCTION("REGEXEXTRACT(B92, ""^[A-Z0-9-]+"")"),"CE-203")</f>
        <v>CE-203</v>
      </c>
      <c r="D92" s="22" t="s">
        <v>209</v>
      </c>
      <c r="E92" s="23" t="s">
        <v>10</v>
      </c>
      <c r="F92" s="22" t="s">
        <v>19</v>
      </c>
      <c r="G92" s="8" t="s">
        <v>12</v>
      </c>
      <c r="H92" s="5" t="str">
        <f>IFERROR(__xludf.DUMMYFUNCTION("REGEXEXTRACT(B92, ""\((\d+)\)"")"),"3")</f>
        <v>3</v>
      </c>
      <c r="I92" s="5"/>
      <c r="J92" s="5"/>
      <c r="K92" s="5"/>
      <c r="L92" s="5"/>
    </row>
    <row r="93" ht="35.25" customHeight="1">
      <c r="A93" s="5">
        <v>92.0</v>
      </c>
      <c r="B93" s="22" t="s">
        <v>210</v>
      </c>
      <c r="C93" s="6" t="str">
        <f>IFERROR(__xludf.DUMMYFUNCTION("REGEXEXTRACT(B93, ""^[A-Z0-9-]+"")"),"CE-203P")</f>
        <v>CE-203P</v>
      </c>
      <c r="D93" s="22" t="s">
        <v>211</v>
      </c>
      <c r="E93" s="23" t="s">
        <v>10</v>
      </c>
      <c r="F93" s="22" t="s">
        <v>82</v>
      </c>
      <c r="G93" s="8" t="s">
        <v>16</v>
      </c>
      <c r="H93" s="5" t="str">
        <f>IFERROR(__xludf.DUMMYFUNCTION("REGEXEXTRACT(B93, ""\((\d+)\)"")"),"1")</f>
        <v>1</v>
      </c>
      <c r="I93" s="5"/>
      <c r="J93" s="5"/>
      <c r="K93" s="5"/>
      <c r="L93" s="5"/>
    </row>
    <row r="94" ht="35.25" customHeight="1">
      <c r="A94" s="5">
        <v>93.0</v>
      </c>
      <c r="B94" s="14" t="s">
        <v>212</v>
      </c>
      <c r="C94" s="6" t="str">
        <f>IFERROR(__xludf.DUMMYFUNCTION("REGEXEXTRACT(B94, ""^[A-Z0-9-]+"")"),"CE-251")</f>
        <v>CE-251</v>
      </c>
      <c r="D94" s="14" t="s">
        <v>213</v>
      </c>
      <c r="E94" s="15" t="s">
        <v>10</v>
      </c>
      <c r="F94" s="14" t="s">
        <v>19</v>
      </c>
      <c r="G94" s="8" t="s">
        <v>20</v>
      </c>
      <c r="H94" s="5" t="str">
        <f>IFERROR(__xludf.DUMMYFUNCTION("REGEXEXTRACT(B94, ""\((\d+)\)"")"),"3")</f>
        <v>3</v>
      </c>
      <c r="I94" s="5"/>
      <c r="J94" s="5"/>
      <c r="K94" s="5"/>
      <c r="L94" s="5"/>
    </row>
    <row r="95" ht="35.25" customHeight="1">
      <c r="A95" s="5">
        <v>94.0</v>
      </c>
      <c r="B95" s="14" t="s">
        <v>214</v>
      </c>
      <c r="C95" s="6" t="str">
        <f>IFERROR(__xludf.DUMMYFUNCTION("REGEXEXTRACT(B95, ""^[A-Z0-9-]+"")"),"CE-252")</f>
        <v>CE-252</v>
      </c>
      <c r="D95" s="14" t="s">
        <v>215</v>
      </c>
      <c r="E95" s="15" t="s">
        <v>10</v>
      </c>
      <c r="F95" s="14" t="s">
        <v>23</v>
      </c>
      <c r="G95" s="8" t="s">
        <v>24</v>
      </c>
      <c r="H95" s="5" t="str">
        <f>IFERROR(__xludf.DUMMYFUNCTION("REGEXEXTRACT(B95, ""\((\d+)\)"")"),"3")</f>
        <v>3</v>
      </c>
      <c r="I95" s="5"/>
      <c r="J95" s="5"/>
      <c r="K95" s="5"/>
      <c r="L95" s="5"/>
    </row>
    <row r="96" ht="35.25" customHeight="1">
      <c r="A96" s="5">
        <v>95.0</v>
      </c>
      <c r="B96" s="14" t="s">
        <v>216</v>
      </c>
      <c r="C96" s="6" t="str">
        <f>IFERROR(__xludf.DUMMYFUNCTION("REGEXEXTRACT(B96, ""^[A-Z0-9-]+"")"),"CE-301")</f>
        <v>CE-301</v>
      </c>
      <c r="D96" s="14" t="s">
        <v>217</v>
      </c>
      <c r="E96" s="15" t="s">
        <v>10</v>
      </c>
      <c r="F96" s="14" t="s">
        <v>15</v>
      </c>
      <c r="G96" s="8" t="s">
        <v>27</v>
      </c>
      <c r="H96" s="5" t="str">
        <f>IFERROR(__xludf.DUMMYFUNCTION("REGEXEXTRACT(B96, ""\((\d+)\)"")"),"4")</f>
        <v>4</v>
      </c>
      <c r="I96" s="5"/>
      <c r="J96" s="5"/>
      <c r="K96" s="5"/>
      <c r="L96" s="5"/>
    </row>
    <row r="97" ht="35.25" customHeight="1">
      <c r="A97" s="5">
        <v>96.0</v>
      </c>
      <c r="B97" s="14" t="s">
        <v>218</v>
      </c>
      <c r="C97" s="6" t="str">
        <f>IFERROR(__xludf.DUMMYFUNCTION("REGEXEXTRACT(B97, ""^[A-Z0-9-]+"")"),"CE-302")</f>
        <v>CE-302</v>
      </c>
      <c r="D97" s="14" t="s">
        <v>219</v>
      </c>
      <c r="E97" s="15" t="s">
        <v>10</v>
      </c>
      <c r="F97" s="14" t="s">
        <v>15</v>
      </c>
      <c r="G97" s="8" t="s">
        <v>30</v>
      </c>
      <c r="H97" s="5" t="str">
        <f>IFERROR(__xludf.DUMMYFUNCTION("REGEXEXTRACT(B97, ""\((\d+)\)"")"),"4")</f>
        <v>4</v>
      </c>
      <c r="I97" s="5"/>
      <c r="J97" s="5"/>
      <c r="K97" s="5"/>
      <c r="L97" s="5"/>
    </row>
    <row r="98" ht="51.75" customHeight="1">
      <c r="A98" s="5">
        <v>97.0</v>
      </c>
      <c r="B98" s="14" t="s">
        <v>220</v>
      </c>
      <c r="C98" s="6" t="str">
        <f>IFERROR(__xludf.DUMMYFUNCTION("REGEXEXTRACT(B98, ""^[A-Z0-9-]+"")"),"CE-303")</f>
        <v>CE-303</v>
      </c>
      <c r="D98" s="14" t="s">
        <v>221</v>
      </c>
      <c r="E98" s="15" t="s">
        <v>10</v>
      </c>
      <c r="F98" s="14" t="s">
        <v>19</v>
      </c>
      <c r="G98" s="8" t="s">
        <v>33</v>
      </c>
      <c r="H98" s="5" t="str">
        <f>IFERROR(__xludf.DUMMYFUNCTION("REGEXEXTRACT(B98, ""\((\d+)\)"")"),"3")</f>
        <v>3</v>
      </c>
      <c r="I98" s="5"/>
      <c r="J98" s="5"/>
      <c r="K98" s="5"/>
      <c r="L98" s="5"/>
    </row>
    <row r="99" ht="35.25" customHeight="1">
      <c r="A99" s="5">
        <v>98.0</v>
      </c>
      <c r="B99" s="14" t="s">
        <v>222</v>
      </c>
      <c r="C99" s="6" t="str">
        <f>IFERROR(__xludf.DUMMYFUNCTION("REGEXEXTRACT(B99, ""^[A-Z0-9-]+"")"),"CE-304P")</f>
        <v>CE-304P</v>
      </c>
      <c r="D99" s="14" t="s">
        <v>223</v>
      </c>
      <c r="E99" s="15" t="s">
        <v>10</v>
      </c>
      <c r="F99" s="14" t="s">
        <v>82</v>
      </c>
      <c r="G99" s="8" t="s">
        <v>36</v>
      </c>
      <c r="H99" s="5" t="str">
        <f>IFERROR(__xludf.DUMMYFUNCTION("REGEXEXTRACT(B99, ""\((\d+)\)"")"),"1")</f>
        <v>1</v>
      </c>
      <c r="I99" s="5"/>
      <c r="J99" s="5"/>
      <c r="K99" s="5"/>
      <c r="L99" s="5"/>
    </row>
    <row r="100" ht="35.25" customHeight="1">
      <c r="A100" s="5">
        <v>99.0</v>
      </c>
      <c r="B100" s="14" t="s">
        <v>224</v>
      </c>
      <c r="C100" s="6" t="str">
        <f>IFERROR(__xludf.DUMMYFUNCTION("REGEXEXTRACT(B100, ""^[A-Z0-9-]+"")"),"CE-305P")</f>
        <v>CE-305P</v>
      </c>
      <c r="D100" s="14" t="s">
        <v>225</v>
      </c>
      <c r="E100" s="15" t="s">
        <v>10</v>
      </c>
      <c r="F100" s="14" t="s">
        <v>82</v>
      </c>
      <c r="G100" s="8" t="s">
        <v>39</v>
      </c>
      <c r="H100" s="5" t="str">
        <f>IFERROR(__xludf.DUMMYFUNCTION("REGEXEXTRACT(B100, ""\((\d+)\)"")"),"1")</f>
        <v>1</v>
      </c>
      <c r="I100" s="5"/>
      <c r="J100" s="5"/>
      <c r="K100" s="5"/>
      <c r="L100" s="5"/>
    </row>
    <row r="101" ht="35.25" customHeight="1">
      <c r="A101" s="5">
        <v>100.0</v>
      </c>
      <c r="B101" s="22" t="s">
        <v>226</v>
      </c>
      <c r="C101" s="6" t="str">
        <f>IFERROR(__xludf.DUMMYFUNCTION("REGEXEXTRACT(B101, ""^[A-Z0-9-]+"")"),"CE-306P")</f>
        <v>CE-306P</v>
      </c>
      <c r="D101" s="22" t="s">
        <v>227</v>
      </c>
      <c r="E101" s="23" t="s">
        <v>10</v>
      </c>
      <c r="F101" s="16" t="s">
        <v>82</v>
      </c>
      <c r="G101" s="8" t="s">
        <v>12</v>
      </c>
      <c r="H101" s="5" t="str">
        <f>IFERROR(__xludf.DUMMYFUNCTION("REGEXEXTRACT(B101, ""\((\d+)\)"")"),"1")</f>
        <v>1</v>
      </c>
      <c r="I101" s="5"/>
      <c r="J101" s="5"/>
      <c r="K101" s="5"/>
      <c r="L101" s="5"/>
    </row>
    <row r="102" ht="35.25" customHeight="1">
      <c r="A102" s="5">
        <v>101.0</v>
      </c>
      <c r="B102" s="14" t="s">
        <v>228</v>
      </c>
      <c r="C102" s="6" t="str">
        <f>IFERROR(__xludf.DUMMYFUNCTION("REGEXEXTRACT(B102, ""^[A-Z0-9-]+"")"),"CE-310")</f>
        <v>CE-310</v>
      </c>
      <c r="D102" s="14" t="s">
        <v>217</v>
      </c>
      <c r="E102" s="15" t="s">
        <v>10</v>
      </c>
      <c r="F102" s="14" t="s">
        <v>19</v>
      </c>
      <c r="G102" s="8" t="s">
        <v>16</v>
      </c>
      <c r="H102" s="5" t="str">
        <f>IFERROR(__xludf.DUMMYFUNCTION("REGEXEXTRACT(B102, ""\((\d+)\)"")"),"3")</f>
        <v>3</v>
      </c>
      <c r="I102" s="5"/>
      <c r="J102" s="5"/>
      <c r="K102" s="5"/>
      <c r="L102" s="5"/>
    </row>
    <row r="103" ht="35.25" customHeight="1">
      <c r="A103" s="5">
        <v>102.0</v>
      </c>
      <c r="B103" s="14" t="s">
        <v>229</v>
      </c>
      <c r="C103" s="6" t="str">
        <f>IFERROR(__xludf.DUMMYFUNCTION("REGEXEXTRACT(B103, ""^[A-Z0-9-]+"")"),"CE-310P")</f>
        <v>CE-310P</v>
      </c>
      <c r="D103" s="14" t="s">
        <v>230</v>
      </c>
      <c r="E103" s="15" t="s">
        <v>10</v>
      </c>
      <c r="F103" s="14" t="s">
        <v>82</v>
      </c>
      <c r="G103" s="8" t="s">
        <v>20</v>
      </c>
      <c r="H103" s="5" t="str">
        <f>IFERROR(__xludf.DUMMYFUNCTION("REGEXEXTRACT(B103, ""\((\d+)\)"")"),"1")</f>
        <v>1</v>
      </c>
      <c r="I103" s="5"/>
      <c r="J103" s="5"/>
      <c r="K103" s="5"/>
      <c r="L103" s="5"/>
    </row>
    <row r="104" ht="35.25" customHeight="1">
      <c r="A104" s="5">
        <v>103.0</v>
      </c>
      <c r="B104" s="22" t="s">
        <v>231</v>
      </c>
      <c r="C104" s="6" t="str">
        <f>IFERROR(__xludf.DUMMYFUNCTION("REGEXEXTRACT(B104, ""^[A-Z0-9-]+"")"),"CE-311")</f>
        <v>CE-311</v>
      </c>
      <c r="D104" s="22" t="s">
        <v>232</v>
      </c>
      <c r="E104" s="23" t="s">
        <v>10</v>
      </c>
      <c r="F104" s="16" t="s">
        <v>19</v>
      </c>
      <c r="G104" s="8" t="s">
        <v>24</v>
      </c>
      <c r="H104" s="5" t="str">
        <f>IFERROR(__xludf.DUMMYFUNCTION("REGEXEXTRACT(B104, ""\((\d+)\)"")"),"3")</f>
        <v>3</v>
      </c>
      <c r="I104" s="5"/>
      <c r="J104" s="5"/>
      <c r="K104" s="5"/>
      <c r="L104" s="5"/>
    </row>
    <row r="105" ht="35.25" customHeight="1">
      <c r="A105" s="5">
        <v>104.0</v>
      </c>
      <c r="B105" s="22" t="s">
        <v>233</v>
      </c>
      <c r="C105" s="6" t="str">
        <f>IFERROR(__xludf.DUMMYFUNCTION("REGEXEXTRACT(B105, ""^[A-Z0-9-]+"")"),"CE-311P")</f>
        <v>CE-311P</v>
      </c>
      <c r="D105" s="22" t="s">
        <v>234</v>
      </c>
      <c r="E105" s="23" t="s">
        <v>10</v>
      </c>
      <c r="F105" s="16" t="s">
        <v>82</v>
      </c>
      <c r="G105" s="8" t="s">
        <v>27</v>
      </c>
      <c r="H105" s="5" t="str">
        <f>IFERROR(__xludf.DUMMYFUNCTION("REGEXEXTRACT(B105, ""\((\d+)\)"")"),"1")</f>
        <v>1</v>
      </c>
      <c r="I105" s="5"/>
      <c r="J105" s="5"/>
      <c r="K105" s="5"/>
      <c r="L105" s="5"/>
    </row>
    <row r="106" ht="35.25" customHeight="1">
      <c r="A106" s="5">
        <v>105.0</v>
      </c>
      <c r="B106" s="14" t="s">
        <v>235</v>
      </c>
      <c r="C106" s="6" t="str">
        <f>IFERROR(__xludf.DUMMYFUNCTION("REGEXEXTRACT(B106, ""^[A-Z0-9-]+"")"),"CE-351")</f>
        <v>CE-351</v>
      </c>
      <c r="D106" s="14" t="s">
        <v>236</v>
      </c>
      <c r="E106" s="15" t="s">
        <v>10</v>
      </c>
      <c r="F106" s="14" t="s">
        <v>237</v>
      </c>
      <c r="G106" s="8" t="s">
        <v>30</v>
      </c>
      <c r="H106" s="5" t="str">
        <f>IFERROR(__xludf.DUMMYFUNCTION("REGEXEXTRACT(B106, ""\((\d+)\)"")"),"3")</f>
        <v>3</v>
      </c>
      <c r="I106" s="5"/>
      <c r="J106" s="5"/>
      <c r="K106" s="5"/>
      <c r="L106" s="5"/>
    </row>
    <row r="107" ht="35.25" customHeight="1">
      <c r="A107" s="5">
        <v>106.0</v>
      </c>
      <c r="B107" s="14" t="s">
        <v>238</v>
      </c>
      <c r="C107" s="6" t="str">
        <f>IFERROR(__xludf.DUMMYFUNCTION("REGEXEXTRACT(B107, ""^[A-Z0-9-]+"")"),"CE-352")</f>
        <v>CE-352</v>
      </c>
      <c r="D107" s="14" t="s">
        <v>239</v>
      </c>
      <c r="E107" s="15" t="s">
        <v>10</v>
      </c>
      <c r="F107" s="14" t="s">
        <v>19</v>
      </c>
      <c r="G107" s="8" t="s">
        <v>33</v>
      </c>
      <c r="H107" s="5" t="str">
        <f>IFERROR(__xludf.DUMMYFUNCTION("REGEXEXTRACT(B107, ""\((\d+)\)"")"),"3")</f>
        <v>3</v>
      </c>
      <c r="I107" s="5"/>
      <c r="J107" s="5"/>
      <c r="K107" s="5"/>
      <c r="L107" s="5"/>
    </row>
    <row r="108" ht="35.25" customHeight="1">
      <c r="A108" s="5">
        <v>107.0</v>
      </c>
      <c r="B108" s="14" t="s">
        <v>238</v>
      </c>
      <c r="C108" s="6" t="str">
        <f>IFERROR(__xludf.DUMMYFUNCTION("REGEXEXTRACT(B108, ""^[A-Z0-9-]+"")"),"CE-352")</f>
        <v>CE-352</v>
      </c>
      <c r="D108" s="14" t="s">
        <v>239</v>
      </c>
      <c r="E108" s="15" t="s">
        <v>10</v>
      </c>
      <c r="F108" s="14" t="s">
        <v>19</v>
      </c>
      <c r="G108" s="8" t="s">
        <v>36</v>
      </c>
      <c r="H108" s="5" t="str">
        <f>IFERROR(__xludf.DUMMYFUNCTION("REGEXEXTRACT(B108, ""\((\d+)\)"")"),"3")</f>
        <v>3</v>
      </c>
      <c r="I108" s="5"/>
      <c r="J108" s="5"/>
      <c r="K108" s="5"/>
      <c r="L108" s="5"/>
    </row>
    <row r="109" ht="35.25" customHeight="1">
      <c r="A109" s="5">
        <v>108.0</v>
      </c>
      <c r="B109" s="22" t="s">
        <v>240</v>
      </c>
      <c r="C109" s="6" t="str">
        <f>IFERROR(__xludf.DUMMYFUNCTION("REGEXEXTRACT(B109, ""^[A-Z0-9-]+"")"),"CE")</f>
        <v>CE</v>
      </c>
      <c r="D109" s="22" t="s">
        <v>241</v>
      </c>
      <c r="E109" s="23" t="s">
        <v>10</v>
      </c>
      <c r="F109" s="16" t="s">
        <v>82</v>
      </c>
      <c r="G109" s="8" t="s">
        <v>39</v>
      </c>
      <c r="H109" s="5" t="str">
        <f>IFERROR(__xludf.DUMMYFUNCTION("REGEXEXTRACT(B109, ""\((\d+)\)"")"),"1")</f>
        <v>1</v>
      </c>
      <c r="I109" s="5"/>
      <c r="J109" s="5"/>
      <c r="K109" s="5"/>
      <c r="L109" s="5"/>
    </row>
    <row r="110" ht="35.25" customHeight="1">
      <c r="A110" s="5">
        <v>109.0</v>
      </c>
      <c r="B110" s="14" t="s">
        <v>242</v>
      </c>
      <c r="C110" s="6" t="str">
        <f>IFERROR(__xludf.DUMMYFUNCTION("REGEXEXTRACT(B110, ""^[A-Z0-9-]+"")"),"CE-353P")</f>
        <v>CE-353P</v>
      </c>
      <c r="D110" s="14" t="s">
        <v>243</v>
      </c>
      <c r="E110" s="15" t="s">
        <v>10</v>
      </c>
      <c r="F110" s="14" t="s">
        <v>82</v>
      </c>
      <c r="G110" s="8" t="s">
        <v>12</v>
      </c>
      <c r="H110" s="5" t="str">
        <f>IFERROR(__xludf.DUMMYFUNCTION("REGEXEXTRACT(B110, ""\((\d+)\)"")"),"1")</f>
        <v>1</v>
      </c>
      <c r="I110" s="5"/>
      <c r="J110" s="5"/>
      <c r="K110" s="5"/>
      <c r="L110" s="5"/>
    </row>
    <row r="111" ht="35.25" customHeight="1">
      <c r="A111" s="5">
        <v>110.0</v>
      </c>
      <c r="B111" s="14" t="s">
        <v>242</v>
      </c>
      <c r="C111" s="6" t="str">
        <f>IFERROR(__xludf.DUMMYFUNCTION("REGEXEXTRACT(B111, ""^[A-Z0-9-]+"")"),"CE-353P")</f>
        <v>CE-353P</v>
      </c>
      <c r="D111" s="14" t="s">
        <v>243</v>
      </c>
      <c r="E111" s="15" t="s">
        <v>10</v>
      </c>
      <c r="F111" s="14" t="s">
        <v>82</v>
      </c>
      <c r="G111" s="8" t="s">
        <v>16</v>
      </c>
      <c r="H111" s="5" t="str">
        <f>IFERROR(__xludf.DUMMYFUNCTION("REGEXEXTRACT(B111, ""\((\d+)\)"")"),"1")</f>
        <v>1</v>
      </c>
      <c r="I111" s="5"/>
      <c r="J111" s="5"/>
      <c r="K111" s="5"/>
      <c r="L111" s="5"/>
    </row>
    <row r="112" ht="35.25" customHeight="1">
      <c r="A112" s="5">
        <v>111.0</v>
      </c>
      <c r="B112" s="14" t="s">
        <v>244</v>
      </c>
      <c r="C112" s="6" t="str">
        <f>IFERROR(__xludf.DUMMYFUNCTION("REGEXEXTRACT(B112, ""^[A-Z0-9-]+"")"),"CE-354P")</f>
        <v>CE-354P</v>
      </c>
      <c r="D112" s="14" t="s">
        <v>245</v>
      </c>
      <c r="E112" s="15" t="s">
        <v>10</v>
      </c>
      <c r="F112" s="14" t="s">
        <v>82</v>
      </c>
      <c r="G112" s="8" t="s">
        <v>20</v>
      </c>
      <c r="H112" s="5" t="str">
        <f>IFERROR(__xludf.DUMMYFUNCTION("REGEXEXTRACT(B112, ""\((\d+)\)"")"),"1")</f>
        <v>1</v>
      </c>
      <c r="I112" s="5"/>
      <c r="J112" s="5"/>
      <c r="K112" s="5"/>
      <c r="L112" s="5"/>
    </row>
    <row r="113" ht="35.25" customHeight="1">
      <c r="A113" s="5">
        <v>112.0</v>
      </c>
      <c r="B113" s="14" t="s">
        <v>246</v>
      </c>
      <c r="C113" s="6" t="str">
        <f>IFERROR(__xludf.DUMMYFUNCTION("REGEXEXTRACT(B113, ""^[A-Z0-9-]+"")"),"CE-355")</f>
        <v>CE-355</v>
      </c>
      <c r="D113" s="14" t="s">
        <v>247</v>
      </c>
      <c r="E113" s="15" t="s">
        <v>10</v>
      </c>
      <c r="F113" s="14" t="s">
        <v>19</v>
      </c>
      <c r="G113" s="8" t="s">
        <v>24</v>
      </c>
      <c r="H113" s="5" t="str">
        <f>IFERROR(__xludf.DUMMYFUNCTION("REGEXEXTRACT(B113, ""\((\d+)\)"")"),"3")</f>
        <v>3</v>
      </c>
      <c r="I113" s="5"/>
      <c r="J113" s="5"/>
      <c r="K113" s="5"/>
      <c r="L113" s="5"/>
    </row>
    <row r="114" ht="35.25" customHeight="1">
      <c r="A114" s="5">
        <v>113.0</v>
      </c>
      <c r="B114" s="22" t="s">
        <v>248</v>
      </c>
      <c r="C114" s="6" t="str">
        <f>IFERROR(__xludf.DUMMYFUNCTION("REGEXEXTRACT(B114, ""^[A-Z0-9-]+"")"),"CE-356")</f>
        <v>CE-356</v>
      </c>
      <c r="D114" s="22" t="s">
        <v>249</v>
      </c>
      <c r="E114" s="23" t="s">
        <v>10</v>
      </c>
      <c r="F114" s="22" t="s">
        <v>82</v>
      </c>
      <c r="G114" s="8" t="s">
        <v>27</v>
      </c>
      <c r="H114" s="5" t="str">
        <f>IFERROR(__xludf.DUMMYFUNCTION("REGEXEXTRACT(B114, ""\((\d+)\)"")"),"1")</f>
        <v>1</v>
      </c>
      <c r="I114" s="5"/>
      <c r="J114" s="5"/>
      <c r="K114" s="5"/>
      <c r="L114" s="5"/>
    </row>
    <row r="115" ht="35.25" customHeight="1">
      <c r="A115" s="5">
        <v>114.0</v>
      </c>
      <c r="B115" s="14" t="s">
        <v>250</v>
      </c>
      <c r="C115" s="6" t="str">
        <f>IFERROR(__xludf.DUMMYFUNCTION("REGEXEXTRACT(B115, ""^[A-Z0-9-]+"")"),"CE-401")</f>
        <v>CE-401</v>
      </c>
      <c r="D115" s="14" t="s">
        <v>251</v>
      </c>
      <c r="E115" s="15" t="s">
        <v>10</v>
      </c>
      <c r="F115" s="14" t="s">
        <v>237</v>
      </c>
      <c r="G115" s="8" t="s">
        <v>30</v>
      </c>
      <c r="H115" s="5" t="str">
        <f>IFERROR(__xludf.DUMMYFUNCTION("REGEXEXTRACT(B115, ""\((\d+)\)"")"),"3")</f>
        <v>3</v>
      </c>
      <c r="I115" s="5"/>
      <c r="J115" s="5"/>
      <c r="K115" s="5"/>
      <c r="L115" s="5"/>
    </row>
    <row r="116" ht="35.25" customHeight="1">
      <c r="A116" s="5">
        <v>115.0</v>
      </c>
      <c r="B116" s="14" t="s">
        <v>252</v>
      </c>
      <c r="C116" s="6" t="str">
        <f>IFERROR(__xludf.DUMMYFUNCTION("REGEXEXTRACT(B116, ""^[A-Z0-9-]+"")"),"CE")</f>
        <v>CE</v>
      </c>
      <c r="D116" s="14" t="s">
        <v>253</v>
      </c>
      <c r="E116" s="15" t="s">
        <v>10</v>
      </c>
      <c r="F116" s="14" t="s">
        <v>237</v>
      </c>
      <c r="G116" s="8" t="s">
        <v>33</v>
      </c>
      <c r="H116" s="5" t="str">
        <f>IFERROR(__xludf.DUMMYFUNCTION("REGEXEXTRACT(B116, ""\((\d+)\)"")"),"3")</f>
        <v>3</v>
      </c>
      <c r="I116" s="5"/>
      <c r="J116" s="5"/>
      <c r="K116" s="5"/>
      <c r="L116" s="5"/>
    </row>
    <row r="117" ht="35.25" customHeight="1">
      <c r="A117" s="5">
        <v>116.0</v>
      </c>
      <c r="B117" s="14" t="s">
        <v>254</v>
      </c>
      <c r="C117" s="6" t="str">
        <f>IFERROR(__xludf.DUMMYFUNCTION("REGEXEXTRACT(B117, ""^[A-Z0-9-]+"")"),"CE-403")</f>
        <v>CE-403</v>
      </c>
      <c r="D117" s="14" t="s">
        <v>255</v>
      </c>
      <c r="E117" s="15" t="s">
        <v>10</v>
      </c>
      <c r="F117" s="14" t="s">
        <v>19</v>
      </c>
      <c r="G117" s="8" t="s">
        <v>36</v>
      </c>
      <c r="H117" s="5" t="str">
        <f>IFERROR(__xludf.DUMMYFUNCTION("REGEXEXTRACT(B117, ""\((\d+)\)"")"),"3")</f>
        <v>3</v>
      </c>
      <c r="I117" s="5"/>
      <c r="J117" s="5"/>
      <c r="K117" s="5"/>
      <c r="L117" s="5"/>
    </row>
    <row r="118" ht="35.25" customHeight="1">
      <c r="A118" s="5">
        <v>117.0</v>
      </c>
      <c r="B118" s="22" t="s">
        <v>256</v>
      </c>
      <c r="C118" s="6" t="str">
        <f>IFERROR(__xludf.DUMMYFUNCTION("REGEXEXTRACT(B118, ""^[A-Z0-9-]+"")"),"CE-404")</f>
        <v>CE-404</v>
      </c>
      <c r="D118" s="22" t="s">
        <v>257</v>
      </c>
      <c r="E118" s="23" t="s">
        <v>10</v>
      </c>
      <c r="F118" s="16" t="s">
        <v>19</v>
      </c>
      <c r="G118" s="8" t="s">
        <v>39</v>
      </c>
      <c r="H118" s="5" t="str">
        <f>IFERROR(__xludf.DUMMYFUNCTION("REGEXEXTRACT(B118, ""\((\d+)\)"")"),"3")</f>
        <v>3</v>
      </c>
      <c r="I118" s="5"/>
      <c r="J118" s="5"/>
      <c r="K118" s="5"/>
      <c r="L118" s="5"/>
    </row>
    <row r="119" ht="35.25" customHeight="1">
      <c r="A119" s="5">
        <v>118.0</v>
      </c>
      <c r="B119" s="22" t="s">
        <v>258</v>
      </c>
      <c r="C119" s="6" t="str">
        <f>IFERROR(__xludf.DUMMYFUNCTION("REGEXEXTRACT(B119, ""^[A-Z0-9-]+"")"),"CE-405")</f>
        <v>CE-405</v>
      </c>
      <c r="D119" s="22" t="s">
        <v>259</v>
      </c>
      <c r="E119" s="23" t="s">
        <v>10</v>
      </c>
      <c r="F119" s="16" t="s">
        <v>19</v>
      </c>
      <c r="G119" s="8" t="s">
        <v>12</v>
      </c>
      <c r="H119" s="5" t="str">
        <f>IFERROR(__xludf.DUMMYFUNCTION("REGEXEXTRACT(B119, ""\((\d+)\)"")"),"3")</f>
        <v>3</v>
      </c>
      <c r="I119" s="5"/>
      <c r="J119" s="5"/>
      <c r="K119" s="5"/>
      <c r="L119" s="5"/>
    </row>
    <row r="120" ht="35.25" customHeight="1">
      <c r="A120" s="5">
        <v>119.0</v>
      </c>
      <c r="B120" s="22" t="s">
        <v>260</v>
      </c>
      <c r="C120" s="6" t="str">
        <f>IFERROR(__xludf.DUMMYFUNCTION("REGEXEXTRACT(B120, ""^[A-Z0-9-]+"")"),"CE-451")</f>
        <v>CE-451</v>
      </c>
      <c r="D120" s="22" t="s">
        <v>261</v>
      </c>
      <c r="E120" s="23" t="s">
        <v>10</v>
      </c>
      <c r="F120" s="16" t="s">
        <v>19</v>
      </c>
      <c r="G120" s="8" t="s">
        <v>16</v>
      </c>
      <c r="H120" s="5" t="str">
        <f>IFERROR(__xludf.DUMMYFUNCTION("REGEXEXTRACT(B120, ""\((\d+)\)"")"),"3")</f>
        <v>3</v>
      </c>
      <c r="I120" s="5"/>
      <c r="J120" s="5"/>
      <c r="K120" s="5"/>
      <c r="L120" s="5"/>
    </row>
    <row r="121" ht="35.25" customHeight="1">
      <c r="A121" s="5">
        <v>120.0</v>
      </c>
      <c r="B121" s="14" t="s">
        <v>262</v>
      </c>
      <c r="C121" s="6" t="str">
        <f>IFERROR(__xludf.DUMMYFUNCTION("REGEXEXTRACT(B121, ""^[A-Z0-9-]+"")"),"CE-501")</f>
        <v>CE-501</v>
      </c>
      <c r="D121" s="14" t="s">
        <v>263</v>
      </c>
      <c r="E121" s="15" t="s">
        <v>10</v>
      </c>
      <c r="F121" s="14" t="s">
        <v>23</v>
      </c>
      <c r="G121" s="8" t="s">
        <v>20</v>
      </c>
      <c r="H121" s="5" t="str">
        <f>IFERROR(__xludf.DUMMYFUNCTION("REGEXEXTRACT(B121, ""\((\d+)\)"")"),"3")</f>
        <v>3</v>
      </c>
      <c r="I121" s="5"/>
      <c r="J121" s="5"/>
      <c r="K121" s="5"/>
      <c r="L121" s="5"/>
    </row>
    <row r="122" ht="35.25" customHeight="1">
      <c r="A122" s="5">
        <v>121.0</v>
      </c>
      <c r="B122" s="14" t="s">
        <v>264</v>
      </c>
      <c r="C122" s="6" t="str">
        <f>IFERROR(__xludf.DUMMYFUNCTION("REGEXEXTRACT(B122, ""^[A-Z0-9-]+"")"),"CE-502")</f>
        <v>CE-502</v>
      </c>
      <c r="D122" s="14" t="s">
        <v>265</v>
      </c>
      <c r="E122" s="15" t="s">
        <v>10</v>
      </c>
      <c r="F122" s="14" t="s">
        <v>19</v>
      </c>
      <c r="G122" s="8" t="s">
        <v>24</v>
      </c>
      <c r="H122" s="5" t="str">
        <f>IFERROR(__xludf.DUMMYFUNCTION("REGEXEXTRACT(B122, ""\((\d+)\)"")"),"3")</f>
        <v>3</v>
      </c>
      <c r="I122" s="5"/>
      <c r="J122" s="5"/>
      <c r="K122" s="5"/>
      <c r="L122" s="5"/>
    </row>
    <row r="123" ht="35.25" customHeight="1">
      <c r="A123" s="5">
        <v>122.0</v>
      </c>
      <c r="B123" s="14" t="s">
        <v>266</v>
      </c>
      <c r="C123" s="6" t="str">
        <f>IFERROR(__xludf.DUMMYFUNCTION("REGEXEXTRACT(B123, ""^[A-Z0-9-]+"")"),"CE-503")</f>
        <v>CE-503</v>
      </c>
      <c r="D123" s="14" t="s">
        <v>267</v>
      </c>
      <c r="E123" s="15" t="s">
        <v>10</v>
      </c>
      <c r="F123" s="14" t="s">
        <v>19</v>
      </c>
      <c r="G123" s="8" t="s">
        <v>27</v>
      </c>
      <c r="H123" s="5" t="str">
        <f>IFERROR(__xludf.DUMMYFUNCTION("REGEXEXTRACT(B123, ""\((\d+)\)"")"),"3")</f>
        <v>3</v>
      </c>
      <c r="I123" s="5"/>
      <c r="J123" s="5"/>
      <c r="K123" s="5"/>
      <c r="L123" s="5"/>
    </row>
    <row r="124" ht="35.25" customHeight="1">
      <c r="A124" s="5">
        <v>123.0</v>
      </c>
      <c r="B124" s="14" t="s">
        <v>268</v>
      </c>
      <c r="C124" s="6" t="str">
        <f>IFERROR(__xludf.DUMMYFUNCTION("REGEXEXTRACT(B124, ""^[A-Z0-9-]+"")"),"CE-504")</f>
        <v>CE-504</v>
      </c>
      <c r="D124" s="14" t="s">
        <v>269</v>
      </c>
      <c r="E124" s="15" t="s">
        <v>10</v>
      </c>
      <c r="F124" s="14" t="s">
        <v>237</v>
      </c>
      <c r="G124" s="8" t="s">
        <v>30</v>
      </c>
      <c r="H124" s="5" t="str">
        <f>IFERROR(__xludf.DUMMYFUNCTION("REGEXEXTRACT(B124, ""\((\d+)\)"")"),"3")</f>
        <v>3</v>
      </c>
      <c r="I124" s="5"/>
      <c r="J124" s="5"/>
      <c r="K124" s="5"/>
      <c r="L124" s="5"/>
    </row>
    <row r="125" ht="35.25" customHeight="1">
      <c r="A125" s="5">
        <v>124.0</v>
      </c>
      <c r="B125" s="14" t="s">
        <v>270</v>
      </c>
      <c r="C125" s="6" t="str">
        <f>IFERROR(__xludf.DUMMYFUNCTION("REGEXEXTRACT(B125, ""^[A-Z0-9-]+"")"),"CE-505")</f>
        <v>CE-505</v>
      </c>
      <c r="D125" s="14" t="s">
        <v>271</v>
      </c>
      <c r="E125" s="15" t="s">
        <v>10</v>
      </c>
      <c r="F125" s="14" t="s">
        <v>19</v>
      </c>
      <c r="G125" s="8" t="s">
        <v>33</v>
      </c>
      <c r="H125" s="5" t="str">
        <f>IFERROR(__xludf.DUMMYFUNCTION("REGEXEXTRACT(B125, ""\((\d+)\)"")"),"3")</f>
        <v>3</v>
      </c>
      <c r="I125" s="5"/>
      <c r="J125" s="5"/>
      <c r="K125" s="5"/>
      <c r="L125" s="5"/>
    </row>
    <row r="126" ht="35.25" customHeight="1">
      <c r="A126" s="5">
        <v>125.0</v>
      </c>
      <c r="B126" s="14" t="s">
        <v>272</v>
      </c>
      <c r="C126" s="6" t="str">
        <f>IFERROR(__xludf.DUMMYFUNCTION("REGEXEXTRACT(B126, ""^[A-Z0-9-]+"")"),"CE-506")</f>
        <v>CE-506</v>
      </c>
      <c r="D126" s="14" t="s">
        <v>273</v>
      </c>
      <c r="E126" s="15" t="s">
        <v>10</v>
      </c>
      <c r="F126" s="14" t="s">
        <v>19</v>
      </c>
      <c r="G126" s="8" t="s">
        <v>36</v>
      </c>
      <c r="H126" s="5" t="str">
        <f>IFERROR(__xludf.DUMMYFUNCTION("REGEXEXTRACT(B126, ""\((\d+)\)"")"),"3")</f>
        <v>3</v>
      </c>
      <c r="I126" s="5"/>
      <c r="J126" s="5"/>
      <c r="K126" s="5"/>
      <c r="L126" s="5"/>
    </row>
    <row r="127" ht="35.25" customHeight="1">
      <c r="A127" s="5">
        <v>126.0</v>
      </c>
      <c r="B127" s="14" t="s">
        <v>274</v>
      </c>
      <c r="C127" s="6" t="str">
        <f>IFERROR(__xludf.DUMMYFUNCTION("REGEXEXTRACT(B127, ""^[A-Z0-9-]+"")"),"CE-507")</f>
        <v>CE-507</v>
      </c>
      <c r="D127" s="14" t="s">
        <v>275</v>
      </c>
      <c r="E127" s="15" t="s">
        <v>10</v>
      </c>
      <c r="F127" s="14" t="s">
        <v>19</v>
      </c>
      <c r="G127" s="8" t="s">
        <v>39</v>
      </c>
      <c r="H127" s="5" t="str">
        <f>IFERROR(__xludf.DUMMYFUNCTION("REGEXEXTRACT(B127, ""\((\d+)\)"")"),"3")</f>
        <v>3</v>
      </c>
      <c r="I127" s="5"/>
      <c r="J127" s="5"/>
      <c r="K127" s="5"/>
      <c r="L127" s="5"/>
    </row>
    <row r="128" ht="35.25" customHeight="1">
      <c r="A128" s="5">
        <v>127.0</v>
      </c>
      <c r="B128" s="14" t="s">
        <v>276</v>
      </c>
      <c r="C128" s="6" t="str">
        <f>IFERROR(__xludf.DUMMYFUNCTION("REGEXEXTRACT(B128, ""^[A-Z0-9-]+"")"),"CE-508")</f>
        <v>CE-508</v>
      </c>
      <c r="D128" s="14" t="s">
        <v>277</v>
      </c>
      <c r="E128" s="15" t="s">
        <v>10</v>
      </c>
      <c r="F128" s="14" t="s">
        <v>23</v>
      </c>
      <c r="G128" s="8" t="s">
        <v>12</v>
      </c>
      <c r="H128" s="5" t="str">
        <f>IFERROR(__xludf.DUMMYFUNCTION("REGEXEXTRACT(B128, ""\((\d+)\)"")"),"3")</f>
        <v>3</v>
      </c>
      <c r="I128" s="5"/>
      <c r="J128" s="5"/>
      <c r="K128" s="5"/>
      <c r="L128" s="5"/>
    </row>
    <row r="129" ht="35.25" customHeight="1">
      <c r="A129" s="5">
        <v>128.0</v>
      </c>
      <c r="B129" s="14" t="s">
        <v>278</v>
      </c>
      <c r="C129" s="6" t="str">
        <f>IFERROR(__xludf.DUMMYFUNCTION("REGEXEXTRACT(B129, ""^[A-Z0-9-]+"")"),"CE")</f>
        <v>CE</v>
      </c>
      <c r="D129" s="14" t="s">
        <v>279</v>
      </c>
      <c r="E129" s="15" t="s">
        <v>10</v>
      </c>
      <c r="F129" s="14" t="s">
        <v>19</v>
      </c>
      <c r="G129" s="8" t="s">
        <v>16</v>
      </c>
      <c r="H129" s="5" t="str">
        <f>IFERROR(__xludf.DUMMYFUNCTION("REGEXEXTRACT(B129, ""\((\d+)\)"")"),"3")</f>
        <v>3</v>
      </c>
      <c r="I129" s="5"/>
      <c r="J129" s="5"/>
      <c r="K129" s="5"/>
      <c r="L129" s="5"/>
    </row>
    <row r="130" ht="35.25" customHeight="1">
      <c r="A130" s="5">
        <v>129.0</v>
      </c>
      <c r="B130" s="14" t="s">
        <v>280</v>
      </c>
      <c r="C130" s="6" t="str">
        <f>IFERROR(__xludf.DUMMYFUNCTION("REGEXEXTRACT(B130, ""^[A-Z0-9-]+"")"),"CE")</f>
        <v>CE</v>
      </c>
      <c r="D130" s="14" t="s">
        <v>281</v>
      </c>
      <c r="E130" s="15" t="s">
        <v>10</v>
      </c>
      <c r="F130" s="14" t="s">
        <v>23</v>
      </c>
      <c r="G130" s="8" t="s">
        <v>20</v>
      </c>
      <c r="H130" s="5" t="str">
        <f>IFERROR(__xludf.DUMMYFUNCTION("REGEXEXTRACT(B130, ""\((\d+)\)"")"),"3")</f>
        <v>3</v>
      </c>
      <c r="I130" s="5"/>
      <c r="J130" s="5"/>
      <c r="K130" s="5"/>
      <c r="L130" s="5"/>
    </row>
    <row r="131" ht="35.25" customHeight="1">
      <c r="A131" s="5">
        <v>130.0</v>
      </c>
      <c r="B131" s="14" t="s">
        <v>282</v>
      </c>
      <c r="C131" s="6" t="str">
        <f>IFERROR(__xludf.DUMMYFUNCTION("REGEXEXTRACT(B131, ""^[A-Z0-9-]+"")"),"CE")</f>
        <v>CE</v>
      </c>
      <c r="D131" s="14" t="s">
        <v>283</v>
      </c>
      <c r="E131" s="15" t="s">
        <v>10</v>
      </c>
      <c r="F131" s="14" t="s">
        <v>19</v>
      </c>
      <c r="G131" s="8" t="s">
        <v>24</v>
      </c>
      <c r="H131" s="5" t="str">
        <f>IFERROR(__xludf.DUMMYFUNCTION("REGEXEXTRACT(B131, ""\((\d+)\)"")"),"3")</f>
        <v>3</v>
      </c>
      <c r="I131" s="5"/>
      <c r="J131" s="5"/>
      <c r="K131" s="5"/>
      <c r="L131" s="5"/>
    </row>
    <row r="132" ht="35.25" customHeight="1">
      <c r="A132" s="5">
        <v>131.0</v>
      </c>
      <c r="B132" s="14" t="s">
        <v>284</v>
      </c>
      <c r="C132" s="6" t="str">
        <f>IFERROR(__xludf.DUMMYFUNCTION("REGEXEXTRACT(B132, ""^[A-Z0-9-]+"")"),"CE-512")</f>
        <v>CE-512</v>
      </c>
      <c r="D132" s="14" t="s">
        <v>285</v>
      </c>
      <c r="E132" s="15" t="s">
        <v>10</v>
      </c>
      <c r="F132" s="14" t="s">
        <v>19</v>
      </c>
      <c r="G132" s="8" t="s">
        <v>27</v>
      </c>
      <c r="H132" s="5" t="str">
        <f>IFERROR(__xludf.DUMMYFUNCTION("REGEXEXTRACT(B132, ""\((\d+)\)"")"),"3")</f>
        <v>3</v>
      </c>
      <c r="I132" s="5"/>
      <c r="J132" s="5"/>
      <c r="K132" s="5"/>
      <c r="L132" s="5"/>
    </row>
    <row r="133" ht="35.25" customHeight="1">
      <c r="A133" s="5">
        <v>132.0</v>
      </c>
      <c r="B133" s="14" t="s">
        <v>286</v>
      </c>
      <c r="C133" s="6" t="str">
        <f>IFERROR(__xludf.DUMMYFUNCTION("REGEXEXTRACT(B133, ""^[A-Z0-9-]+"")"),"CE-513")</f>
        <v>CE-513</v>
      </c>
      <c r="D133" s="14" t="s">
        <v>287</v>
      </c>
      <c r="E133" s="15" t="s">
        <v>10</v>
      </c>
      <c r="F133" s="14" t="s">
        <v>19</v>
      </c>
      <c r="G133" s="8" t="s">
        <v>30</v>
      </c>
      <c r="H133" s="5" t="str">
        <f>IFERROR(__xludf.DUMMYFUNCTION("REGEXEXTRACT(B133, ""\((\d+)\)"")"),"3")</f>
        <v>3</v>
      </c>
      <c r="I133" s="5"/>
      <c r="J133" s="5"/>
      <c r="K133" s="5"/>
      <c r="L133" s="5"/>
    </row>
    <row r="134" ht="35.25" customHeight="1">
      <c r="A134" s="5">
        <v>133.0</v>
      </c>
      <c r="B134" s="16" t="s">
        <v>288</v>
      </c>
      <c r="C134" s="6" t="str">
        <f>IFERROR(__xludf.DUMMYFUNCTION("REGEXEXTRACT(B134, ""^[A-Z0-9-]+"")"),"CE")</f>
        <v>CE</v>
      </c>
      <c r="D134" s="14" t="s">
        <v>289</v>
      </c>
      <c r="E134" s="15" t="s">
        <v>10</v>
      </c>
      <c r="F134" s="14" t="s">
        <v>19</v>
      </c>
      <c r="G134" s="8" t="s">
        <v>33</v>
      </c>
      <c r="H134" s="5" t="str">
        <f>IFERROR(__xludf.DUMMYFUNCTION("REGEXEXTRACT(B134, ""\((\d+)\)"")"),"3")</f>
        <v>3</v>
      </c>
      <c r="I134" s="5"/>
      <c r="J134" s="5"/>
      <c r="K134" s="5"/>
      <c r="L134" s="5"/>
    </row>
    <row r="135" ht="35.25" customHeight="1">
      <c r="A135" s="5">
        <v>134.0</v>
      </c>
      <c r="B135" s="24" t="s">
        <v>290</v>
      </c>
      <c r="C135" s="6" t="str">
        <f>IFERROR(__xludf.DUMMYFUNCTION("REGEXEXTRACT(B135, ""^[A-Z0-9-]+"")"),"CE-515")</f>
        <v>CE-515</v>
      </c>
      <c r="D135" s="6" t="s">
        <v>291</v>
      </c>
      <c r="E135" s="7" t="s">
        <v>10</v>
      </c>
      <c r="F135" s="6" t="s">
        <v>19</v>
      </c>
      <c r="G135" s="8" t="s">
        <v>36</v>
      </c>
      <c r="H135" s="5" t="str">
        <f>IFERROR(__xludf.DUMMYFUNCTION("REGEXEXTRACT(B135, ""\((\d+)\)"")"),"3")</f>
        <v>3</v>
      </c>
      <c r="I135" s="5"/>
      <c r="J135" s="5"/>
      <c r="K135" s="5"/>
      <c r="L135" s="5"/>
    </row>
    <row r="136" ht="35.25" customHeight="1">
      <c r="A136" s="5">
        <v>135.0</v>
      </c>
      <c r="B136" s="24" t="s">
        <v>292</v>
      </c>
      <c r="C136" s="6" t="str">
        <f>IFERROR(__xludf.DUMMYFUNCTION("REGEXEXTRACT(B136, ""^[A-Z0-9-]+"")"),"CE-516")</f>
        <v>CE-516</v>
      </c>
      <c r="D136" s="6" t="s">
        <v>293</v>
      </c>
      <c r="E136" s="7" t="s">
        <v>10</v>
      </c>
      <c r="F136" s="6" t="s">
        <v>19</v>
      </c>
      <c r="G136" s="8" t="s">
        <v>39</v>
      </c>
      <c r="H136" s="5" t="str">
        <f>IFERROR(__xludf.DUMMYFUNCTION("REGEXEXTRACT(B136, ""\((\d+)\)"")"),"3")</f>
        <v>3</v>
      </c>
      <c r="I136" s="5"/>
      <c r="J136" s="5"/>
      <c r="K136" s="5"/>
      <c r="L136" s="5"/>
    </row>
    <row r="137" ht="35.25" customHeight="1">
      <c r="A137" s="5">
        <v>136.0</v>
      </c>
      <c r="B137" s="24" t="s">
        <v>294</v>
      </c>
      <c r="C137" s="6" t="str">
        <f>IFERROR(__xludf.DUMMYFUNCTION("REGEXEXTRACT(B137, ""^[A-Z0-9-]+"")"),"CE-517")</f>
        <v>CE-517</v>
      </c>
      <c r="D137" s="6" t="s">
        <v>295</v>
      </c>
      <c r="E137" s="7" t="s">
        <v>10</v>
      </c>
      <c r="F137" s="6" t="s">
        <v>11</v>
      </c>
      <c r="G137" s="8" t="s">
        <v>12</v>
      </c>
      <c r="H137" s="5" t="str">
        <f>IFERROR(__xludf.DUMMYFUNCTION("REGEXEXTRACT(B137, ""\((\d+)\)"")"),"4")</f>
        <v>4</v>
      </c>
      <c r="I137" s="5"/>
      <c r="J137" s="5"/>
      <c r="K137" s="5"/>
      <c r="L137" s="5"/>
    </row>
    <row r="138" ht="35.25" customHeight="1">
      <c r="A138" s="5">
        <v>137.0</v>
      </c>
      <c r="B138" s="24" t="s">
        <v>296</v>
      </c>
      <c r="C138" s="6" t="str">
        <f>IFERROR(__xludf.DUMMYFUNCTION("REGEXEXTRACT(B138, ""^[A-Z0-9-]+"")"),"CE-518")</f>
        <v>CE-518</v>
      </c>
      <c r="D138" s="6" t="s">
        <v>297</v>
      </c>
      <c r="E138" s="7" t="s">
        <v>10</v>
      </c>
      <c r="F138" s="6" t="s">
        <v>19</v>
      </c>
      <c r="G138" s="8" t="s">
        <v>16</v>
      </c>
      <c r="H138" s="5" t="str">
        <f>IFERROR(__xludf.DUMMYFUNCTION("REGEXEXTRACT(B138, ""\((\d+)\)"")"),"3")</f>
        <v>3</v>
      </c>
      <c r="I138" s="5"/>
      <c r="J138" s="5"/>
      <c r="K138" s="5"/>
      <c r="L138" s="5"/>
    </row>
    <row r="139" ht="35.25" customHeight="1">
      <c r="A139" s="5">
        <v>138.0</v>
      </c>
      <c r="B139" s="24" t="s">
        <v>298</v>
      </c>
      <c r="C139" s="6" t="str">
        <f>IFERROR(__xludf.DUMMYFUNCTION("REGEXEXTRACT(B139, ""^[A-Z0-9-]+"")"),"CE-519")</f>
        <v>CE-519</v>
      </c>
      <c r="D139" s="6" t="s">
        <v>299</v>
      </c>
      <c r="E139" s="7" t="s">
        <v>10</v>
      </c>
      <c r="F139" s="6" t="s">
        <v>19</v>
      </c>
      <c r="G139" s="8" t="s">
        <v>20</v>
      </c>
      <c r="H139" s="5" t="str">
        <f>IFERROR(__xludf.DUMMYFUNCTION("REGEXEXTRACT(B139, ""\((\d+)\)"")"),"3")</f>
        <v>3</v>
      </c>
      <c r="I139" s="5"/>
      <c r="J139" s="5"/>
      <c r="K139" s="5"/>
      <c r="L139" s="5"/>
    </row>
    <row r="140" ht="35.25" customHeight="1">
      <c r="A140" s="5">
        <v>139.0</v>
      </c>
      <c r="B140" s="22" t="s">
        <v>300</v>
      </c>
      <c r="C140" s="6" t="str">
        <f>IFERROR(__xludf.DUMMYFUNCTION("REGEXEXTRACT(B140, ""^[A-Z0-9-]+"")"),"CE-520")</f>
        <v>CE-520</v>
      </c>
      <c r="D140" s="22" t="s">
        <v>301</v>
      </c>
      <c r="E140" s="23" t="s">
        <v>87</v>
      </c>
      <c r="F140" s="22" t="s">
        <v>19</v>
      </c>
      <c r="G140" s="8" t="s">
        <v>24</v>
      </c>
      <c r="H140" s="5" t="str">
        <f>IFERROR(__xludf.DUMMYFUNCTION("REGEXEXTRACT(B140, ""\((\d+)\)"")"),"3")</f>
        <v>3</v>
      </c>
      <c r="I140" s="5"/>
      <c r="J140" s="5"/>
      <c r="K140" s="5"/>
      <c r="L140" s="5"/>
    </row>
    <row r="141" ht="35.25" customHeight="1">
      <c r="A141" s="5">
        <v>140.0</v>
      </c>
      <c r="B141" s="22" t="s">
        <v>302</v>
      </c>
      <c r="C141" s="6" t="str">
        <f>IFERROR(__xludf.DUMMYFUNCTION("REGEXEXTRACT(B141, ""^[A-Z0-9-]+"")"),"CE-521")</f>
        <v>CE-521</v>
      </c>
      <c r="D141" s="22" t="s">
        <v>303</v>
      </c>
      <c r="E141" s="23" t="s">
        <v>10</v>
      </c>
      <c r="F141" s="24" t="s">
        <v>15</v>
      </c>
      <c r="G141" s="8" t="s">
        <v>27</v>
      </c>
      <c r="H141" s="5" t="str">
        <f>IFERROR(__xludf.DUMMYFUNCTION("REGEXEXTRACT(B141, ""\((\d+)\)"")"),"4")</f>
        <v>4</v>
      </c>
      <c r="I141" s="5"/>
      <c r="J141" s="5"/>
      <c r="K141" s="5"/>
      <c r="L141" s="5"/>
    </row>
    <row r="142" ht="35.25" customHeight="1">
      <c r="A142" s="5">
        <v>141.0</v>
      </c>
      <c r="B142" s="22" t="s">
        <v>304</v>
      </c>
      <c r="C142" s="6" t="str">
        <f>IFERROR(__xludf.DUMMYFUNCTION("REGEXEXTRACT(B142, ""^[A-Z0-9-]+"")"),"CE-522")</f>
        <v>CE-522</v>
      </c>
      <c r="D142" s="22" t="s">
        <v>305</v>
      </c>
      <c r="E142" s="23" t="s">
        <v>10</v>
      </c>
      <c r="F142" s="24" t="s">
        <v>19</v>
      </c>
      <c r="G142" s="8" t="s">
        <v>30</v>
      </c>
      <c r="H142" s="5" t="str">
        <f>IFERROR(__xludf.DUMMYFUNCTION("REGEXEXTRACT(B142, ""\((\d+)\)"")"),"3")</f>
        <v>3</v>
      </c>
      <c r="I142" s="5"/>
      <c r="J142" s="5"/>
      <c r="K142" s="5"/>
      <c r="L142" s="5"/>
    </row>
    <row r="143" ht="35.25" customHeight="1">
      <c r="A143" s="5">
        <v>142.0</v>
      </c>
      <c r="B143" s="22" t="s">
        <v>306</v>
      </c>
      <c r="C143" s="6" t="str">
        <f>IFERROR(__xludf.DUMMYFUNCTION("REGEXEXTRACT(B143, ""^[A-Z0-9-]+"")"),"CE-523")</f>
        <v>CE-523</v>
      </c>
      <c r="D143" s="22" t="s">
        <v>307</v>
      </c>
      <c r="E143" s="23" t="s">
        <v>10</v>
      </c>
      <c r="F143" s="24" t="s">
        <v>19</v>
      </c>
      <c r="G143" s="8" t="s">
        <v>33</v>
      </c>
      <c r="H143" s="5" t="str">
        <f>IFERROR(__xludf.DUMMYFUNCTION("REGEXEXTRACT(B143, ""\((\d+)\)"")"),"3")</f>
        <v>3</v>
      </c>
      <c r="I143" s="5"/>
      <c r="J143" s="5"/>
      <c r="K143" s="5"/>
      <c r="L143" s="5"/>
    </row>
    <row r="144" ht="35.25" customHeight="1">
      <c r="A144" s="5">
        <v>143.0</v>
      </c>
      <c r="B144" s="11" t="s">
        <v>308</v>
      </c>
      <c r="C144" s="6" t="str">
        <f>IFERROR(__xludf.DUMMYFUNCTION("REGEXEXTRACT(B144, ""^[A-Z0-9-]+"")"),"CE-524")</f>
        <v>CE-524</v>
      </c>
      <c r="D144" s="11" t="s">
        <v>309</v>
      </c>
      <c r="E144" s="25" t="s">
        <v>10</v>
      </c>
      <c r="F144" s="11" t="s">
        <v>19</v>
      </c>
      <c r="G144" s="8" t="s">
        <v>36</v>
      </c>
      <c r="H144" s="5" t="str">
        <f>IFERROR(__xludf.DUMMYFUNCTION("REGEXEXTRACT(B144, ""\((\d+)\)"")"),"3")</f>
        <v>3</v>
      </c>
      <c r="I144" s="5"/>
      <c r="J144" s="5"/>
      <c r="K144" s="5"/>
      <c r="L144" s="5"/>
    </row>
    <row r="145" ht="35.25" customHeight="1">
      <c r="A145" s="5">
        <v>144.0</v>
      </c>
      <c r="B145" s="11" t="s">
        <v>310</v>
      </c>
      <c r="C145" s="6" t="str">
        <f>IFERROR(__xludf.DUMMYFUNCTION("REGEXEXTRACT(B145, ""^[A-Z0-9-]+"")"),"CE-524P")</f>
        <v>CE-524P</v>
      </c>
      <c r="D145" s="11" t="s">
        <v>311</v>
      </c>
      <c r="E145" s="25" t="s">
        <v>10</v>
      </c>
      <c r="F145" s="11" t="s">
        <v>82</v>
      </c>
      <c r="G145" s="8" t="s">
        <v>39</v>
      </c>
      <c r="H145" s="5" t="str">
        <f>IFERROR(__xludf.DUMMYFUNCTION("REGEXEXTRACT(B145, ""\((\d+)\)"")"),"1")</f>
        <v>1</v>
      </c>
      <c r="I145" s="5"/>
      <c r="J145" s="5"/>
      <c r="K145" s="5"/>
      <c r="L145" s="5"/>
    </row>
    <row r="146" ht="35.25" customHeight="1">
      <c r="A146" s="5">
        <v>145.0</v>
      </c>
      <c r="B146" s="22" t="s">
        <v>312</v>
      </c>
      <c r="C146" s="6" t="str">
        <f>IFERROR(__xludf.DUMMYFUNCTION("REGEXEXTRACT(B146, ""^[A-Z0-9-]+"")"),"CE-525")</f>
        <v>CE-525</v>
      </c>
      <c r="D146" s="22" t="s">
        <v>313</v>
      </c>
      <c r="E146" s="23" t="s">
        <v>87</v>
      </c>
      <c r="F146" s="22" t="s">
        <v>314</v>
      </c>
      <c r="G146" s="8" t="s">
        <v>12</v>
      </c>
      <c r="H146" s="5" t="str">
        <f>IFERROR(__xludf.DUMMYFUNCTION("REGEXEXTRACT(B146, ""\((\d+)\)"")"),"4")</f>
        <v>4</v>
      </c>
      <c r="I146" s="5"/>
      <c r="J146" s="5"/>
      <c r="K146" s="5"/>
      <c r="L146" s="5"/>
    </row>
    <row r="147" ht="35.25" customHeight="1">
      <c r="A147" s="5">
        <v>146.0</v>
      </c>
      <c r="B147" s="22" t="s">
        <v>315</v>
      </c>
      <c r="C147" s="6" t="str">
        <f>IFERROR(__xludf.DUMMYFUNCTION("REGEXEXTRACT(B147, ""^[A-Z0-9-]+"")"),"CE-526")</f>
        <v>CE-526</v>
      </c>
      <c r="D147" s="22" t="s">
        <v>316</v>
      </c>
      <c r="E147" s="23" t="s">
        <v>87</v>
      </c>
      <c r="F147" s="22" t="s">
        <v>237</v>
      </c>
      <c r="G147" s="8" t="s">
        <v>16</v>
      </c>
      <c r="H147" s="5" t="str">
        <f>IFERROR(__xludf.DUMMYFUNCTION("REGEXEXTRACT(B147, ""\((\d+)\)"")"),"3")</f>
        <v>3</v>
      </c>
      <c r="I147" s="5"/>
      <c r="J147" s="5"/>
      <c r="K147" s="5"/>
      <c r="L147" s="5"/>
    </row>
    <row r="148" ht="35.25" customHeight="1">
      <c r="A148" s="5">
        <v>147.0</v>
      </c>
      <c r="B148" s="22" t="s">
        <v>317</v>
      </c>
      <c r="C148" s="6" t="str">
        <f>IFERROR(__xludf.DUMMYFUNCTION("REGEXEXTRACT(B148, ""^[A-Z0-9-]+"")"),"CE-527")</f>
        <v>CE-527</v>
      </c>
      <c r="D148" s="22" t="s">
        <v>318</v>
      </c>
      <c r="E148" s="23" t="s">
        <v>87</v>
      </c>
      <c r="F148" s="22" t="s">
        <v>15</v>
      </c>
      <c r="G148" s="8" t="s">
        <v>20</v>
      </c>
      <c r="H148" s="5" t="str">
        <f>IFERROR(__xludf.DUMMYFUNCTION("REGEXEXTRACT(B148, ""\((\d+)\)"")"),"4")</f>
        <v>4</v>
      </c>
      <c r="I148" s="5"/>
      <c r="J148" s="5"/>
      <c r="K148" s="5"/>
      <c r="L148" s="5"/>
    </row>
    <row r="149" ht="35.25" customHeight="1">
      <c r="A149" s="5">
        <v>148.0</v>
      </c>
      <c r="B149" s="22" t="s">
        <v>319</v>
      </c>
      <c r="C149" s="6" t="str">
        <f>IFERROR(__xludf.DUMMYFUNCTION("REGEXEXTRACT(B149, ""^[A-Z0-9-]+"")"),"CE-528")</f>
        <v>CE-528</v>
      </c>
      <c r="D149" s="22" t="s">
        <v>320</v>
      </c>
      <c r="E149" s="23" t="s">
        <v>87</v>
      </c>
      <c r="F149" s="22" t="s">
        <v>19</v>
      </c>
      <c r="G149" s="8" t="s">
        <v>24</v>
      </c>
      <c r="H149" s="5" t="str">
        <f>IFERROR(__xludf.DUMMYFUNCTION("REGEXEXTRACT(B149, ""\((\d+)\)"")"),"3")</f>
        <v>3</v>
      </c>
      <c r="I149" s="5"/>
      <c r="J149" s="5"/>
      <c r="K149" s="5"/>
      <c r="L149" s="5"/>
    </row>
    <row r="150" ht="35.25" customHeight="1">
      <c r="A150" s="5">
        <v>149.0</v>
      </c>
      <c r="B150" s="14" t="s">
        <v>321</v>
      </c>
      <c r="C150" s="6" t="str">
        <f>IFERROR(__xludf.DUMMYFUNCTION("REGEXEXTRACT(B150, ""^[A-Z0-9-]+"")"),"CE-551")</f>
        <v>CE-551</v>
      </c>
      <c r="D150" s="14" t="s">
        <v>322</v>
      </c>
      <c r="E150" s="15" t="s">
        <v>10</v>
      </c>
      <c r="F150" s="14" t="s">
        <v>19</v>
      </c>
      <c r="G150" s="8" t="s">
        <v>27</v>
      </c>
      <c r="H150" s="5" t="str">
        <f>IFERROR(__xludf.DUMMYFUNCTION("REGEXEXTRACT(B150, ""\((\d+)\)"")"),"3")</f>
        <v>3</v>
      </c>
      <c r="I150" s="5"/>
      <c r="J150" s="5"/>
      <c r="K150" s="5"/>
      <c r="L150" s="5"/>
    </row>
    <row r="151" ht="35.25" customHeight="1">
      <c r="A151" s="5">
        <v>150.0</v>
      </c>
      <c r="B151" s="14" t="s">
        <v>323</v>
      </c>
      <c r="C151" s="6" t="str">
        <f>IFERROR(__xludf.DUMMYFUNCTION("REGEXEXTRACT(B151, ""^[A-Z0-9-]+"")"),"CE-552")</f>
        <v>CE-552</v>
      </c>
      <c r="D151" s="14" t="s">
        <v>324</v>
      </c>
      <c r="E151" s="15" t="s">
        <v>10</v>
      </c>
      <c r="F151" s="14" t="s">
        <v>19</v>
      </c>
      <c r="G151" s="8" t="s">
        <v>30</v>
      </c>
      <c r="H151" s="5" t="str">
        <f>IFERROR(__xludf.DUMMYFUNCTION("REGEXEXTRACT(B151, ""\((\d+)\)"")"),"3")</f>
        <v>3</v>
      </c>
      <c r="I151" s="5"/>
      <c r="J151" s="5"/>
      <c r="K151" s="5"/>
      <c r="L151" s="5"/>
    </row>
    <row r="152" ht="35.25" customHeight="1">
      <c r="A152" s="5">
        <v>151.0</v>
      </c>
      <c r="B152" s="14" t="s">
        <v>325</v>
      </c>
      <c r="C152" s="6" t="str">
        <f>IFERROR(__xludf.DUMMYFUNCTION("REGEXEXTRACT(B152, ""^[A-Z0-9-]+"")"),"CE")</f>
        <v>CE</v>
      </c>
      <c r="D152" s="14" t="s">
        <v>326</v>
      </c>
      <c r="E152" s="15" t="s">
        <v>10</v>
      </c>
      <c r="F152" s="14" t="s">
        <v>19</v>
      </c>
      <c r="G152" s="8" t="s">
        <v>33</v>
      </c>
      <c r="H152" s="5" t="str">
        <f>IFERROR(__xludf.DUMMYFUNCTION("REGEXEXTRACT(B152, ""\((\d+)\)"")"),"3")</f>
        <v>3</v>
      </c>
      <c r="I152" s="5"/>
      <c r="J152" s="5"/>
      <c r="K152" s="5"/>
      <c r="L152" s="5"/>
    </row>
    <row r="153" ht="35.25" customHeight="1">
      <c r="A153" s="5">
        <v>152.0</v>
      </c>
      <c r="B153" s="14" t="s">
        <v>327</v>
      </c>
      <c r="C153" s="6" t="str">
        <f>IFERROR(__xludf.DUMMYFUNCTION("REGEXEXTRACT(B153, ""^[A-Z0-9-]+"")"),"CE")</f>
        <v>CE</v>
      </c>
      <c r="D153" s="14" t="s">
        <v>328</v>
      </c>
      <c r="E153" s="15" t="s">
        <v>10</v>
      </c>
      <c r="F153" s="14" t="s">
        <v>19</v>
      </c>
      <c r="G153" s="8" t="s">
        <v>36</v>
      </c>
      <c r="H153" s="5" t="str">
        <f>IFERROR(__xludf.DUMMYFUNCTION("REGEXEXTRACT(B153, ""\((\d+)\)"")"),"3")</f>
        <v>3</v>
      </c>
      <c r="I153" s="5"/>
      <c r="J153" s="5"/>
      <c r="K153" s="5"/>
      <c r="L153" s="5"/>
    </row>
    <row r="154" ht="35.25" customHeight="1">
      <c r="A154" s="5">
        <v>153.0</v>
      </c>
      <c r="B154" s="14" t="s">
        <v>329</v>
      </c>
      <c r="C154" s="6" t="str">
        <f>IFERROR(__xludf.DUMMYFUNCTION("REGEXEXTRACT(B154, ""^[A-Z0-9-]+"")"),"CE")</f>
        <v>CE</v>
      </c>
      <c r="D154" s="14" t="s">
        <v>330</v>
      </c>
      <c r="E154" s="15" t="s">
        <v>10</v>
      </c>
      <c r="F154" s="14" t="s">
        <v>331</v>
      </c>
      <c r="G154" s="8" t="s">
        <v>39</v>
      </c>
      <c r="H154" s="5" t="str">
        <f>IFERROR(__xludf.DUMMYFUNCTION("REGEXEXTRACT(B154, ""\((\d+)\)"")"),"2")</f>
        <v>2</v>
      </c>
      <c r="I154" s="5"/>
      <c r="J154" s="5"/>
      <c r="K154" s="5"/>
      <c r="L154" s="5"/>
    </row>
    <row r="155" ht="35.25" customHeight="1">
      <c r="A155" s="5">
        <v>154.0</v>
      </c>
      <c r="B155" s="14" t="s">
        <v>332</v>
      </c>
      <c r="C155" s="6" t="str">
        <f>IFERROR(__xludf.DUMMYFUNCTION("REGEXEXTRACT(B155, ""^[A-Z0-9-]+"")"),"CE")</f>
        <v>CE</v>
      </c>
      <c r="D155" s="14" t="s">
        <v>333</v>
      </c>
      <c r="E155" s="15" t="s">
        <v>10</v>
      </c>
      <c r="F155" s="14" t="s">
        <v>19</v>
      </c>
      <c r="G155" s="8" t="s">
        <v>12</v>
      </c>
      <c r="H155" s="5" t="str">
        <f>IFERROR(__xludf.DUMMYFUNCTION("REGEXEXTRACT(B155, ""\((\d+)\)"")"),"3")</f>
        <v>3</v>
      </c>
      <c r="I155" s="5"/>
      <c r="J155" s="5"/>
      <c r="K155" s="5"/>
      <c r="L155" s="5"/>
    </row>
    <row r="156" ht="35.25" customHeight="1">
      <c r="A156" s="5">
        <v>155.0</v>
      </c>
      <c r="B156" s="14" t="s">
        <v>334</v>
      </c>
      <c r="C156" s="6" t="str">
        <f>IFERROR(__xludf.DUMMYFUNCTION("REGEXEXTRACT(B156, ""^[A-Z0-9-]+"")"),"CE")</f>
        <v>CE</v>
      </c>
      <c r="D156" s="14" t="s">
        <v>335</v>
      </c>
      <c r="E156" s="15" t="s">
        <v>10</v>
      </c>
      <c r="F156" s="14" t="s">
        <v>19</v>
      </c>
      <c r="G156" s="8" t="s">
        <v>16</v>
      </c>
      <c r="H156" s="5" t="str">
        <f>IFERROR(__xludf.DUMMYFUNCTION("REGEXEXTRACT(B156, ""\((\d+)\)"")"),"3")</f>
        <v>3</v>
      </c>
      <c r="I156" s="5"/>
      <c r="J156" s="5"/>
      <c r="K156" s="5"/>
      <c r="L156" s="5"/>
    </row>
    <row r="157" ht="35.25" customHeight="1">
      <c r="A157" s="5">
        <v>156.0</v>
      </c>
      <c r="B157" s="14" t="s">
        <v>336</v>
      </c>
      <c r="C157" s="6" t="str">
        <f>IFERROR(__xludf.DUMMYFUNCTION("REGEXEXTRACT(B157, ""^[A-Z0-9-]+"")"),"CE")</f>
        <v>CE</v>
      </c>
      <c r="D157" s="14" t="s">
        <v>337</v>
      </c>
      <c r="E157" s="15" t="s">
        <v>10</v>
      </c>
      <c r="F157" s="14" t="s">
        <v>19</v>
      </c>
      <c r="G157" s="8" t="s">
        <v>20</v>
      </c>
      <c r="H157" s="5" t="str">
        <f>IFERROR(__xludf.DUMMYFUNCTION("REGEXEXTRACT(B157, ""\((\d+)\)"")"),"3")</f>
        <v>3</v>
      </c>
      <c r="I157" s="5"/>
      <c r="J157" s="5"/>
      <c r="K157" s="5"/>
      <c r="L157" s="5"/>
    </row>
    <row r="158" ht="35.25" customHeight="1">
      <c r="A158" s="5">
        <v>157.0</v>
      </c>
      <c r="B158" s="14" t="s">
        <v>338</v>
      </c>
      <c r="C158" s="6" t="str">
        <f>IFERROR(__xludf.DUMMYFUNCTION("REGEXEXTRACT(B158, ""^[A-Z0-9-]+"")"),"CE")</f>
        <v>CE</v>
      </c>
      <c r="D158" s="14" t="s">
        <v>339</v>
      </c>
      <c r="E158" s="14" t="s">
        <v>340</v>
      </c>
      <c r="F158" s="14" t="s">
        <v>19</v>
      </c>
      <c r="G158" s="8" t="s">
        <v>24</v>
      </c>
      <c r="H158" s="5" t="str">
        <f>IFERROR(__xludf.DUMMYFUNCTION("REGEXEXTRACT(B158, ""\((\d+)\)"")"),"3")</f>
        <v>3</v>
      </c>
      <c r="I158" s="5"/>
      <c r="J158" s="5"/>
      <c r="K158" s="5"/>
      <c r="L158" s="5"/>
    </row>
    <row r="159" ht="35.25" customHeight="1">
      <c r="A159" s="5">
        <v>158.0</v>
      </c>
      <c r="B159" s="14" t="s">
        <v>341</v>
      </c>
      <c r="C159" s="6" t="str">
        <f>IFERROR(__xludf.DUMMYFUNCTION("REGEXEXTRACT(B159, ""^[A-Z0-9-]+"")"),"CE-561")</f>
        <v>CE-561</v>
      </c>
      <c r="D159" s="14" t="s">
        <v>342</v>
      </c>
      <c r="E159" s="15" t="s">
        <v>10</v>
      </c>
      <c r="F159" s="14" t="s">
        <v>19</v>
      </c>
      <c r="G159" s="8" t="s">
        <v>27</v>
      </c>
      <c r="H159" s="5" t="str">
        <f>IFERROR(__xludf.DUMMYFUNCTION("REGEXEXTRACT(B159, ""\((\d+)\)"")"),"3")</f>
        <v>3</v>
      </c>
      <c r="I159" s="5"/>
      <c r="J159" s="5"/>
      <c r="K159" s="5"/>
      <c r="L159" s="5"/>
    </row>
    <row r="160" ht="35.25" customHeight="1">
      <c r="A160" s="5">
        <v>159.0</v>
      </c>
      <c r="B160" s="14" t="s">
        <v>343</v>
      </c>
      <c r="C160" s="6" t="str">
        <f>IFERROR(__xludf.DUMMYFUNCTION("REGEXEXTRACT(B160, ""^[A-Z0-9-]+"")"),"CE")</f>
        <v>CE</v>
      </c>
      <c r="D160" s="14" t="s">
        <v>344</v>
      </c>
      <c r="E160" s="15" t="s">
        <v>10</v>
      </c>
      <c r="F160" s="14" t="s">
        <v>345</v>
      </c>
      <c r="G160" s="8" t="s">
        <v>30</v>
      </c>
      <c r="H160" s="5" t="str">
        <f>IFERROR(__xludf.DUMMYFUNCTION("REGEXEXTRACT(B160, ""\((\d+)\)"")"),"3")</f>
        <v>3</v>
      </c>
      <c r="I160" s="5"/>
      <c r="J160" s="5"/>
      <c r="K160" s="5"/>
      <c r="L160" s="5"/>
    </row>
    <row r="161" ht="35.25" customHeight="1">
      <c r="A161" s="5">
        <v>160.0</v>
      </c>
      <c r="B161" s="14" t="s">
        <v>346</v>
      </c>
      <c r="C161" s="6" t="str">
        <f>IFERROR(__xludf.DUMMYFUNCTION("REGEXEXTRACT(B161, ""^[A-Z0-9-]+"")"),"CE")</f>
        <v>CE</v>
      </c>
      <c r="D161" s="14" t="s">
        <v>347</v>
      </c>
      <c r="E161" s="15" t="s">
        <v>10</v>
      </c>
      <c r="F161" s="14" t="s">
        <v>82</v>
      </c>
      <c r="G161" s="8" t="s">
        <v>33</v>
      </c>
      <c r="H161" s="5" t="str">
        <f>IFERROR(__xludf.DUMMYFUNCTION("REGEXEXTRACT(B161, ""\((\d+)\)"")"),"1")</f>
        <v>1</v>
      </c>
      <c r="I161" s="5"/>
      <c r="J161" s="5"/>
      <c r="K161" s="5"/>
      <c r="L161" s="5"/>
    </row>
    <row r="162" ht="35.25" customHeight="1">
      <c r="A162" s="5">
        <v>161.0</v>
      </c>
      <c r="B162" s="22" t="s">
        <v>348</v>
      </c>
      <c r="C162" s="6" t="str">
        <f>IFERROR(__xludf.DUMMYFUNCTION("REGEXEXTRACT(B162, ""^[A-Z0-9-]+"")"),"CE-600")</f>
        <v>CE-600</v>
      </c>
      <c r="D162" s="22" t="s">
        <v>349</v>
      </c>
      <c r="E162" s="23" t="s">
        <v>10</v>
      </c>
      <c r="F162" s="22" t="s">
        <v>77</v>
      </c>
      <c r="G162" s="8" t="s">
        <v>36</v>
      </c>
      <c r="H162" s="5" t="str">
        <f>IFERROR(__xludf.DUMMYFUNCTION("REGEXEXTRACT(B162, ""\((\d+)\)"")"),"1")</f>
        <v>1</v>
      </c>
      <c r="I162" s="5"/>
      <c r="J162" s="5"/>
      <c r="K162" s="5"/>
      <c r="L162" s="5"/>
    </row>
    <row r="163" ht="35.25" customHeight="1">
      <c r="A163" s="5">
        <v>162.0</v>
      </c>
      <c r="B163" s="14" t="s">
        <v>350</v>
      </c>
      <c r="C163" s="6" t="str">
        <f>IFERROR(__xludf.DUMMYFUNCTION("REGEXEXTRACT(B163, ""^[A-Z0-9-]+"")"),"CE-601")</f>
        <v>CE-601</v>
      </c>
      <c r="D163" s="14" t="s">
        <v>351</v>
      </c>
      <c r="E163" s="15" t="s">
        <v>10</v>
      </c>
      <c r="F163" s="14" t="s">
        <v>23</v>
      </c>
      <c r="G163" s="8" t="s">
        <v>39</v>
      </c>
      <c r="H163" s="5" t="str">
        <f>IFERROR(__xludf.DUMMYFUNCTION("REGEXEXTRACT(B163, ""\((\d+)\)"")"),"3")</f>
        <v>3</v>
      </c>
      <c r="I163" s="5"/>
      <c r="J163" s="5"/>
      <c r="K163" s="5"/>
      <c r="L163" s="5"/>
    </row>
    <row r="164" ht="35.25" customHeight="1">
      <c r="A164" s="5">
        <v>163.0</v>
      </c>
      <c r="B164" s="14" t="s">
        <v>352</v>
      </c>
      <c r="C164" s="6" t="str">
        <f>IFERROR(__xludf.DUMMYFUNCTION("REGEXEXTRACT(B164, ""^[A-Z0-9-]+"")"),"CE")</f>
        <v>CE</v>
      </c>
      <c r="D164" s="14" t="s">
        <v>353</v>
      </c>
      <c r="E164" s="15" t="s">
        <v>10</v>
      </c>
      <c r="F164" s="14" t="s">
        <v>19</v>
      </c>
      <c r="G164" s="8" t="s">
        <v>12</v>
      </c>
      <c r="H164" s="5" t="str">
        <f>IFERROR(__xludf.DUMMYFUNCTION("REGEXEXTRACT(B164, ""\((\d+)\)"")"),"3")</f>
        <v>3</v>
      </c>
      <c r="I164" s="5"/>
      <c r="J164" s="5"/>
      <c r="K164" s="5"/>
      <c r="L164" s="5"/>
    </row>
    <row r="165" ht="35.25" customHeight="1">
      <c r="A165" s="5">
        <v>164.0</v>
      </c>
      <c r="B165" s="22" t="s">
        <v>354</v>
      </c>
      <c r="C165" s="6" t="str">
        <f>IFERROR(__xludf.DUMMYFUNCTION("REGEXEXTRACT(B165, ""^[A-Z0-9-]+"")"),"CE-604")</f>
        <v>CE-604</v>
      </c>
      <c r="D165" s="22" t="s">
        <v>355</v>
      </c>
      <c r="E165" s="15" t="s">
        <v>10</v>
      </c>
      <c r="F165" s="16" t="s">
        <v>237</v>
      </c>
      <c r="G165" s="8" t="s">
        <v>16</v>
      </c>
      <c r="H165" s="5" t="str">
        <f>IFERROR(__xludf.DUMMYFUNCTION("REGEXEXTRACT(B165, ""\((\d+)\)"")"),"3")</f>
        <v>3</v>
      </c>
      <c r="I165" s="5"/>
      <c r="J165" s="5"/>
      <c r="K165" s="5"/>
      <c r="L165" s="5"/>
    </row>
    <row r="166" ht="35.25" customHeight="1">
      <c r="A166" s="5">
        <v>165.0</v>
      </c>
      <c r="B166" s="14" t="s">
        <v>356</v>
      </c>
      <c r="C166" s="6" t="str">
        <f>IFERROR(__xludf.DUMMYFUNCTION("REGEXEXTRACT(B166, ""^[A-Z0-9-]+"")"),"CE")</f>
        <v>CE</v>
      </c>
      <c r="D166" s="14" t="s">
        <v>357</v>
      </c>
      <c r="E166" s="15" t="s">
        <v>10</v>
      </c>
      <c r="F166" s="14" t="s">
        <v>19</v>
      </c>
      <c r="G166" s="8" t="s">
        <v>20</v>
      </c>
      <c r="H166" s="5" t="str">
        <f>IFERROR(__xludf.DUMMYFUNCTION("REGEXEXTRACT(B166, ""\((\d+)\)"")"),"3")</f>
        <v>3</v>
      </c>
      <c r="I166" s="5"/>
      <c r="J166" s="5"/>
      <c r="K166" s="5"/>
      <c r="L166" s="5"/>
    </row>
    <row r="167" ht="35.25" customHeight="1">
      <c r="A167" s="5">
        <v>166.0</v>
      </c>
      <c r="B167" s="14" t="s">
        <v>358</v>
      </c>
      <c r="C167" s="6" t="str">
        <f>IFERROR(__xludf.DUMMYFUNCTION("REGEXEXTRACT(B167, ""^[A-Z0-9-]+"")"),"CE")</f>
        <v>CE</v>
      </c>
      <c r="D167" s="14" t="s">
        <v>359</v>
      </c>
      <c r="E167" s="15" t="s">
        <v>10</v>
      </c>
      <c r="F167" s="14" t="s">
        <v>19</v>
      </c>
      <c r="G167" s="8" t="s">
        <v>24</v>
      </c>
      <c r="H167" s="5" t="str">
        <f>IFERROR(__xludf.DUMMYFUNCTION("REGEXEXTRACT(B167, ""\((\d+)\)"")"),"3")</f>
        <v>3</v>
      </c>
      <c r="I167" s="5"/>
      <c r="J167" s="5"/>
      <c r="K167" s="5"/>
      <c r="L167" s="5"/>
    </row>
    <row r="168" ht="35.25" customHeight="1">
      <c r="A168" s="5">
        <v>167.0</v>
      </c>
      <c r="B168" s="14" t="s">
        <v>360</v>
      </c>
      <c r="C168" s="6" t="str">
        <f>IFERROR(__xludf.DUMMYFUNCTION("REGEXEXTRACT(B168, ""^[A-Z0-9-]+"")"),"CE")</f>
        <v>CE</v>
      </c>
      <c r="D168" s="14" t="s">
        <v>361</v>
      </c>
      <c r="E168" s="15" t="s">
        <v>10</v>
      </c>
      <c r="F168" s="14" t="s">
        <v>19</v>
      </c>
      <c r="G168" s="8" t="s">
        <v>27</v>
      </c>
      <c r="H168" s="5" t="str">
        <f>IFERROR(__xludf.DUMMYFUNCTION("REGEXEXTRACT(B168, ""\((\d+)\)"")"),"3")</f>
        <v>3</v>
      </c>
      <c r="I168" s="5"/>
      <c r="J168" s="5"/>
      <c r="K168" s="5"/>
      <c r="L168" s="5"/>
    </row>
    <row r="169" ht="35.25" customHeight="1">
      <c r="A169" s="5">
        <v>168.0</v>
      </c>
      <c r="B169" s="14" t="s">
        <v>362</v>
      </c>
      <c r="C169" s="6" t="str">
        <f>IFERROR(__xludf.DUMMYFUNCTION("REGEXEXTRACT(B169, ""^[A-Z0-9-]+"")"),"CE")</f>
        <v>CE</v>
      </c>
      <c r="D169" s="14" t="s">
        <v>363</v>
      </c>
      <c r="E169" s="15" t="s">
        <v>10</v>
      </c>
      <c r="F169" s="14" t="s">
        <v>19</v>
      </c>
      <c r="G169" s="8" t="s">
        <v>30</v>
      </c>
      <c r="H169" s="5" t="str">
        <f>IFERROR(__xludf.DUMMYFUNCTION("REGEXEXTRACT(B169, ""\((\d+)\)"")"),"3")</f>
        <v>3</v>
      </c>
      <c r="I169" s="5"/>
      <c r="J169" s="5"/>
      <c r="K169" s="5"/>
      <c r="L169" s="5"/>
    </row>
    <row r="170" ht="35.25" customHeight="1">
      <c r="A170" s="5">
        <v>169.0</v>
      </c>
      <c r="B170" s="14" t="s">
        <v>364</v>
      </c>
      <c r="C170" s="6" t="str">
        <f>IFERROR(__xludf.DUMMYFUNCTION("REGEXEXTRACT(B170, ""^[A-Z0-9-]+"")"),"CE")</f>
        <v>CE</v>
      </c>
      <c r="D170" s="14" t="s">
        <v>365</v>
      </c>
      <c r="E170" s="15" t="s">
        <v>10</v>
      </c>
      <c r="F170" s="14" t="s">
        <v>19</v>
      </c>
      <c r="G170" s="8" t="s">
        <v>33</v>
      </c>
      <c r="H170" s="5" t="str">
        <f>IFERROR(__xludf.DUMMYFUNCTION("REGEXEXTRACT(B170, ""\((\d+)\)"")"),"3")</f>
        <v>3</v>
      </c>
      <c r="I170" s="5"/>
      <c r="J170" s="5"/>
      <c r="K170" s="5"/>
      <c r="L170" s="5"/>
    </row>
    <row r="171" ht="35.25" customHeight="1">
      <c r="A171" s="5">
        <v>170.0</v>
      </c>
      <c r="B171" s="6" t="s">
        <v>366</v>
      </c>
      <c r="C171" s="6" t="str">
        <f>IFERROR(__xludf.DUMMYFUNCTION("REGEXEXTRACT(B171, ""^[A-Z0-9-]+"")"),"CE-613")</f>
        <v>CE-613</v>
      </c>
      <c r="D171" s="6" t="s">
        <v>367</v>
      </c>
      <c r="E171" s="15" t="s">
        <v>10</v>
      </c>
      <c r="F171" s="6" t="s">
        <v>19</v>
      </c>
      <c r="G171" s="8" t="s">
        <v>36</v>
      </c>
      <c r="H171" s="5" t="str">
        <f>IFERROR(__xludf.DUMMYFUNCTION("REGEXEXTRACT(B171, ""\((\d+)\)"")"),"3")</f>
        <v>3</v>
      </c>
      <c r="I171" s="5"/>
      <c r="J171" s="5"/>
      <c r="K171" s="5"/>
      <c r="L171" s="5"/>
    </row>
    <row r="172" ht="35.25" customHeight="1">
      <c r="A172" s="5">
        <v>171.0</v>
      </c>
      <c r="B172" s="14" t="s">
        <v>368</v>
      </c>
      <c r="C172" s="6" t="str">
        <f>IFERROR(__xludf.DUMMYFUNCTION("REGEXEXTRACT(B172, ""^[A-Z0-9-]+"")"),"CE")</f>
        <v>CE</v>
      </c>
      <c r="D172" s="14" t="s">
        <v>369</v>
      </c>
      <c r="E172" s="15" t="s">
        <v>87</v>
      </c>
      <c r="F172" s="14" t="s">
        <v>370</v>
      </c>
      <c r="G172" s="8" t="s">
        <v>39</v>
      </c>
      <c r="H172" s="5" t="str">
        <f>IFERROR(__xludf.DUMMYFUNCTION("REGEXEXTRACT(B172, ""\((\d+)\)"")"),"#N/A")</f>
        <v>#N/A</v>
      </c>
      <c r="I172" s="5"/>
      <c r="J172" s="5"/>
      <c r="K172" s="5"/>
      <c r="L172" s="5"/>
    </row>
    <row r="173" ht="35.25" customHeight="1">
      <c r="A173" s="5">
        <v>172.0</v>
      </c>
      <c r="B173" s="14" t="s">
        <v>371</v>
      </c>
      <c r="C173" s="6" t="str">
        <f>IFERROR(__xludf.DUMMYFUNCTION("REGEXEXTRACT(B173, ""^[A-Z0-9-]+"")"),"CE")</f>
        <v>CE</v>
      </c>
      <c r="D173" s="14" t="s">
        <v>372</v>
      </c>
      <c r="E173" s="15" t="s">
        <v>87</v>
      </c>
      <c r="F173" s="14" t="s">
        <v>107</v>
      </c>
      <c r="G173" s="8" t="s">
        <v>12</v>
      </c>
      <c r="H173" s="5" t="str">
        <f>IFERROR(__xludf.DUMMYFUNCTION("REGEXEXTRACT(B173, ""\((\d+)\)"")"),"#N/A")</f>
        <v>#N/A</v>
      </c>
      <c r="I173" s="5"/>
      <c r="J173" s="5"/>
      <c r="K173" s="5"/>
      <c r="L173" s="5"/>
    </row>
    <row r="174" ht="35.25" customHeight="1">
      <c r="A174" s="5">
        <v>173.0</v>
      </c>
      <c r="B174" s="14" t="s">
        <v>373</v>
      </c>
      <c r="C174" s="6" t="str">
        <f>IFERROR(__xludf.DUMMYFUNCTION("REGEXEXTRACT(B174, ""^[A-Z0-9-]+"")"),"CE")</f>
        <v>CE</v>
      </c>
      <c r="D174" s="14" t="s">
        <v>369</v>
      </c>
      <c r="E174" s="15" t="s">
        <v>10</v>
      </c>
      <c r="F174" s="14" t="s">
        <v>374</v>
      </c>
      <c r="G174" s="8" t="s">
        <v>16</v>
      </c>
      <c r="H174" s="5" t="str">
        <f>IFERROR(__xludf.DUMMYFUNCTION("REGEXEXTRACT(B174, ""\((\d+)\)"")"),"14")</f>
        <v>14</v>
      </c>
      <c r="I174" s="5"/>
      <c r="J174" s="5"/>
      <c r="K174" s="5"/>
      <c r="L174" s="5"/>
    </row>
    <row r="175" ht="35.25" customHeight="1">
      <c r="A175" s="5">
        <v>174.0</v>
      </c>
      <c r="B175" s="14" t="s">
        <v>375</v>
      </c>
      <c r="C175" s="6" t="str">
        <f>IFERROR(__xludf.DUMMYFUNCTION("REGEXEXTRACT(B175, ""^[A-Z0-9-]+"")"),"CE")</f>
        <v>CE</v>
      </c>
      <c r="D175" s="14" t="s">
        <v>372</v>
      </c>
      <c r="E175" s="15" t="s">
        <v>10</v>
      </c>
      <c r="F175" s="14" t="s">
        <v>376</v>
      </c>
      <c r="G175" s="8" t="s">
        <v>20</v>
      </c>
      <c r="H175" s="5" t="str">
        <f>IFERROR(__xludf.DUMMYFUNCTION("REGEXEXTRACT(B175, ""\((\d+)\)"")"),"15")</f>
        <v>15</v>
      </c>
      <c r="I175" s="5"/>
      <c r="J175" s="5"/>
      <c r="K175" s="5"/>
      <c r="L175" s="5"/>
    </row>
    <row r="176" ht="35.25" customHeight="1">
      <c r="A176" s="5">
        <v>175.0</v>
      </c>
      <c r="B176" s="14" t="s">
        <v>377</v>
      </c>
      <c r="C176" s="6" t="str">
        <f>IFERROR(__xludf.DUMMYFUNCTION("REGEXEXTRACT(B176, ""^[A-Z0-9-]+"")"),"CS-201")</f>
        <v>CS-201</v>
      </c>
      <c r="D176" s="14" t="s">
        <v>378</v>
      </c>
      <c r="E176" s="15" t="s">
        <v>10</v>
      </c>
      <c r="F176" s="14" t="s">
        <v>19</v>
      </c>
      <c r="G176" s="8" t="s">
        <v>24</v>
      </c>
      <c r="H176" s="5" t="str">
        <f>IFERROR(__xludf.DUMMYFUNCTION("REGEXEXTRACT(B176, ""\((\d+)\)"")"),"3")</f>
        <v>3</v>
      </c>
      <c r="I176" s="5"/>
      <c r="J176" s="5"/>
      <c r="K176" s="5"/>
      <c r="L176" s="5"/>
    </row>
    <row r="177" ht="35.25" customHeight="1">
      <c r="A177" s="5">
        <v>176.0</v>
      </c>
      <c r="B177" s="14" t="s">
        <v>379</v>
      </c>
      <c r="C177" s="6" t="str">
        <f>IFERROR(__xludf.DUMMYFUNCTION("REGEXEXTRACT(B177, ""^[A-Z0-9-]+"")"),"CS-201P")</f>
        <v>CS-201P</v>
      </c>
      <c r="D177" s="14" t="s">
        <v>380</v>
      </c>
      <c r="E177" s="15" t="s">
        <v>10</v>
      </c>
      <c r="F177" s="14" t="s">
        <v>82</v>
      </c>
      <c r="G177" s="8" t="s">
        <v>27</v>
      </c>
      <c r="H177" s="5" t="str">
        <f>IFERROR(__xludf.DUMMYFUNCTION("REGEXEXTRACT(B177, ""\((\d+)\)"")"),"1")</f>
        <v>1</v>
      </c>
      <c r="I177" s="5"/>
      <c r="J177" s="5"/>
      <c r="K177" s="5"/>
      <c r="L177" s="5"/>
    </row>
    <row r="178" ht="35.25" customHeight="1">
      <c r="A178" s="5">
        <v>177.0</v>
      </c>
      <c r="B178" s="14" t="s">
        <v>381</v>
      </c>
      <c r="C178" s="6" t="str">
        <f>IFERROR(__xludf.DUMMYFUNCTION("REGEXEXTRACT(B178, ""^[A-Z0-9-]+"")"),"CS-202")</f>
        <v>CS-202</v>
      </c>
      <c r="D178" s="14" t="s">
        <v>382</v>
      </c>
      <c r="E178" s="15" t="s">
        <v>10</v>
      </c>
      <c r="F178" s="14" t="s">
        <v>15</v>
      </c>
      <c r="G178" s="8" t="s">
        <v>30</v>
      </c>
      <c r="H178" s="5" t="str">
        <f>IFERROR(__xludf.DUMMYFUNCTION("REGEXEXTRACT(B178, ""\((\d+)\)"")"),"4")</f>
        <v>4</v>
      </c>
      <c r="I178" s="5"/>
      <c r="J178" s="5"/>
      <c r="K178" s="5"/>
      <c r="L178" s="5"/>
    </row>
    <row r="179" ht="35.25" customHeight="1">
      <c r="A179" s="5">
        <v>178.0</v>
      </c>
      <c r="B179" s="14" t="s">
        <v>383</v>
      </c>
      <c r="C179" s="6" t="str">
        <f>IFERROR(__xludf.DUMMYFUNCTION("REGEXEXTRACT(B179, ""^[A-Z0-9-]+"")"),"CS-207")</f>
        <v>CS-207</v>
      </c>
      <c r="D179" s="14" t="s">
        <v>384</v>
      </c>
      <c r="E179" s="15" t="s">
        <v>10</v>
      </c>
      <c r="F179" s="14" t="s">
        <v>385</v>
      </c>
      <c r="G179" s="8" t="s">
        <v>33</v>
      </c>
      <c r="H179" s="5" t="str">
        <f>IFERROR(__xludf.DUMMYFUNCTION("REGEXEXTRACT(B179, ""\((\d+)\)"")"),"2")</f>
        <v>2</v>
      </c>
      <c r="I179" s="5"/>
      <c r="J179" s="5"/>
      <c r="K179" s="5"/>
      <c r="L179" s="5"/>
    </row>
    <row r="180" ht="35.25" customHeight="1">
      <c r="A180" s="5">
        <v>179.0</v>
      </c>
      <c r="B180" s="14" t="s">
        <v>386</v>
      </c>
      <c r="C180" s="6" t="str">
        <f>IFERROR(__xludf.DUMMYFUNCTION("REGEXEXTRACT(B180, ""^[A-Z0-9-]+"")"),"CS-208")</f>
        <v>CS-208</v>
      </c>
      <c r="D180" s="14" t="s">
        <v>387</v>
      </c>
      <c r="E180" s="15" t="s">
        <v>10</v>
      </c>
      <c r="F180" s="14" t="s">
        <v>11</v>
      </c>
      <c r="G180" s="8" t="s">
        <v>36</v>
      </c>
      <c r="H180" s="5" t="str">
        <f>IFERROR(__xludf.DUMMYFUNCTION("REGEXEXTRACT(B180, ""\((\d+)\)"")"),"4")</f>
        <v>4</v>
      </c>
      <c r="I180" s="5"/>
      <c r="J180" s="5"/>
      <c r="K180" s="5"/>
      <c r="L180" s="5"/>
    </row>
    <row r="181" ht="35.25" customHeight="1">
      <c r="A181" s="5">
        <v>180.0</v>
      </c>
      <c r="B181" s="22" t="s">
        <v>388</v>
      </c>
      <c r="C181" s="6" t="str">
        <f>IFERROR(__xludf.DUMMYFUNCTION("REGEXEXTRACT(B181, ""^[A-Z0-9-]+"")"),"CS-212")</f>
        <v>CS-212</v>
      </c>
      <c r="D181" s="22" t="s">
        <v>389</v>
      </c>
      <c r="E181" s="23" t="s">
        <v>10</v>
      </c>
      <c r="F181" s="22" t="s">
        <v>15</v>
      </c>
      <c r="G181" s="8" t="s">
        <v>39</v>
      </c>
      <c r="H181" s="5" t="str">
        <f>IFERROR(__xludf.DUMMYFUNCTION("REGEXEXTRACT(B181, ""\((\d+)\)"")"),"4")</f>
        <v>4</v>
      </c>
      <c r="I181" s="5"/>
      <c r="J181" s="5"/>
      <c r="K181" s="5"/>
      <c r="L181" s="5"/>
    </row>
    <row r="182" ht="35.25" customHeight="1">
      <c r="A182" s="5">
        <v>181.0</v>
      </c>
      <c r="B182" s="14" t="s">
        <v>390</v>
      </c>
      <c r="C182" s="6" t="str">
        <f>IFERROR(__xludf.DUMMYFUNCTION("REGEXEXTRACT(B182, ""^[A-Z0-9-]+"")"),"CS-302")</f>
        <v>CS-302</v>
      </c>
      <c r="D182" s="14" t="s">
        <v>391</v>
      </c>
      <c r="E182" s="15" t="s">
        <v>10</v>
      </c>
      <c r="F182" s="14" t="s">
        <v>15</v>
      </c>
      <c r="G182" s="8" t="s">
        <v>12</v>
      </c>
      <c r="H182" s="5" t="str">
        <f>IFERROR(__xludf.DUMMYFUNCTION("REGEXEXTRACT(B182, ""\((\d+)\)"")"),"4")</f>
        <v>4</v>
      </c>
      <c r="I182" s="5"/>
      <c r="J182" s="5"/>
      <c r="K182" s="5"/>
      <c r="L182" s="5"/>
    </row>
    <row r="183" ht="35.25" customHeight="1">
      <c r="A183" s="5">
        <v>182.0</v>
      </c>
      <c r="B183" s="14"/>
      <c r="C183" s="6" t="str">
        <f>IFERROR(__xludf.DUMMYFUNCTION("REGEXEXTRACT(B183, ""^[A-Z0-9-]+"")"),"#N/A")</f>
        <v>#N/A</v>
      </c>
      <c r="D183" s="14"/>
      <c r="E183" s="14"/>
      <c r="F183" s="14"/>
      <c r="G183" s="8" t="s">
        <v>16</v>
      </c>
      <c r="H183" s="5" t="str">
        <f>IFERROR(__xludf.DUMMYFUNCTION("REGEXEXTRACT(B183, ""\((\d+)\)"")"),"#N/A")</f>
        <v>#N/A</v>
      </c>
      <c r="I183" s="5"/>
      <c r="J183" s="5"/>
      <c r="K183" s="5"/>
      <c r="L183" s="5"/>
    </row>
    <row r="184" ht="35.25" customHeight="1">
      <c r="A184" s="5">
        <v>183.0</v>
      </c>
      <c r="B184" s="14" t="s">
        <v>392</v>
      </c>
      <c r="C184" s="6" t="str">
        <f>IFERROR(__xludf.DUMMYFUNCTION("REGEXEXTRACT(B184, ""^[A-Z0-9-]+"")"),"CS-303")</f>
        <v>CS-303</v>
      </c>
      <c r="D184" s="14" t="s">
        <v>393</v>
      </c>
      <c r="E184" s="15" t="s">
        <v>10</v>
      </c>
      <c r="F184" s="14" t="s">
        <v>23</v>
      </c>
      <c r="G184" s="8" t="s">
        <v>20</v>
      </c>
      <c r="H184" s="5" t="str">
        <f>IFERROR(__xludf.DUMMYFUNCTION("REGEXEXTRACT(B184, ""\((\d+)\)"")"),"3")</f>
        <v>3</v>
      </c>
      <c r="I184" s="5"/>
      <c r="J184" s="5"/>
      <c r="K184" s="5"/>
      <c r="L184" s="5"/>
    </row>
    <row r="185" ht="35.25" customHeight="1">
      <c r="A185" s="5">
        <v>184.0</v>
      </c>
      <c r="B185" s="14" t="s">
        <v>394</v>
      </c>
      <c r="C185" s="6" t="str">
        <f>IFERROR(__xludf.DUMMYFUNCTION("REGEXEXTRACT(B185, ""^[A-Z0-9-]+"")"),"CS-304")</f>
        <v>CS-304</v>
      </c>
      <c r="D185" s="14" t="s">
        <v>395</v>
      </c>
      <c r="E185" s="15" t="s">
        <v>10</v>
      </c>
      <c r="F185" s="14" t="s">
        <v>19</v>
      </c>
      <c r="G185" s="8" t="s">
        <v>24</v>
      </c>
      <c r="H185" s="5" t="str">
        <f>IFERROR(__xludf.DUMMYFUNCTION("REGEXEXTRACT(B185, ""\((\d+)\)"")"),"3")</f>
        <v>3</v>
      </c>
      <c r="I185" s="5"/>
      <c r="J185" s="5"/>
      <c r="K185" s="5"/>
      <c r="L185" s="5"/>
    </row>
    <row r="186" ht="35.25" customHeight="1">
      <c r="A186" s="5">
        <v>185.0</v>
      </c>
      <c r="B186" s="14" t="s">
        <v>396</v>
      </c>
      <c r="C186" s="6" t="str">
        <f>IFERROR(__xludf.DUMMYFUNCTION("REGEXEXTRACT(B186, ""^[A-Z0-9-]+"")"),"CS-305")</f>
        <v>CS-305</v>
      </c>
      <c r="D186" s="14" t="s">
        <v>397</v>
      </c>
      <c r="E186" s="15" t="s">
        <v>10</v>
      </c>
      <c r="F186" s="14" t="s">
        <v>19</v>
      </c>
      <c r="G186" s="8" t="s">
        <v>27</v>
      </c>
      <c r="H186" s="5" t="str">
        <f>IFERROR(__xludf.DUMMYFUNCTION("REGEXEXTRACT(B186, ""\((\d+)\)"")"),"3")</f>
        <v>3</v>
      </c>
      <c r="I186" s="5"/>
      <c r="J186" s="5"/>
      <c r="K186" s="5"/>
      <c r="L186" s="5"/>
    </row>
    <row r="187" ht="35.25" customHeight="1">
      <c r="A187" s="5">
        <v>186.0</v>
      </c>
      <c r="B187" s="14" t="s">
        <v>398</v>
      </c>
      <c r="C187" s="6" t="str">
        <f>IFERROR(__xludf.DUMMYFUNCTION("REGEXEXTRACT(B187, ""^[A-Z0-9-]+"")"),"CS-308")</f>
        <v>CS-308</v>
      </c>
      <c r="D187" s="14" t="s">
        <v>399</v>
      </c>
      <c r="E187" s="15" t="s">
        <v>10</v>
      </c>
      <c r="F187" s="14" t="s">
        <v>385</v>
      </c>
      <c r="G187" s="8" t="s">
        <v>30</v>
      </c>
      <c r="H187" s="5" t="str">
        <f>IFERROR(__xludf.DUMMYFUNCTION("REGEXEXTRACT(B187, ""\((\d+)\)"")"),"2")</f>
        <v>2</v>
      </c>
      <c r="I187" s="5"/>
      <c r="J187" s="5"/>
      <c r="K187" s="5"/>
      <c r="L187" s="5"/>
    </row>
    <row r="188" ht="35.25" customHeight="1">
      <c r="A188" s="5">
        <v>187.0</v>
      </c>
      <c r="B188" s="14" t="s">
        <v>400</v>
      </c>
      <c r="C188" s="6" t="str">
        <f>IFERROR(__xludf.DUMMYFUNCTION("REGEXEXTRACT(B188, ""^[A-Z0-9-]+"")"),"CS-309")</f>
        <v>CS-309</v>
      </c>
      <c r="D188" s="14" t="s">
        <v>401</v>
      </c>
      <c r="E188" s="15" t="s">
        <v>10</v>
      </c>
      <c r="F188" s="14" t="s">
        <v>15</v>
      </c>
      <c r="G188" s="8" t="s">
        <v>33</v>
      </c>
      <c r="H188" s="5" t="str">
        <f>IFERROR(__xludf.DUMMYFUNCTION("REGEXEXTRACT(B188, ""\((\d+)\)"")"),"4")</f>
        <v>4</v>
      </c>
      <c r="I188" s="5"/>
      <c r="J188" s="5"/>
      <c r="K188" s="5"/>
      <c r="L188" s="5"/>
    </row>
    <row r="189" ht="35.25" customHeight="1">
      <c r="A189" s="5">
        <v>188.0</v>
      </c>
      <c r="B189" s="14" t="s">
        <v>402</v>
      </c>
      <c r="C189" s="6" t="str">
        <f>IFERROR(__xludf.DUMMYFUNCTION("REGEXEXTRACT(B189, ""^[A-Z0-9-]+"")"),"CS-310")</f>
        <v>CS-310</v>
      </c>
      <c r="D189" s="14" t="s">
        <v>403</v>
      </c>
      <c r="E189" s="15" t="s">
        <v>10</v>
      </c>
      <c r="F189" s="14" t="s">
        <v>15</v>
      </c>
      <c r="G189" s="8" t="s">
        <v>36</v>
      </c>
      <c r="H189" s="5" t="str">
        <f>IFERROR(__xludf.DUMMYFUNCTION("REGEXEXTRACT(B189, ""\((\d+)\)"")"),"4")</f>
        <v>4</v>
      </c>
      <c r="I189" s="5"/>
      <c r="J189" s="5"/>
      <c r="K189" s="5"/>
      <c r="L189" s="5"/>
    </row>
    <row r="190" ht="35.25" customHeight="1">
      <c r="A190" s="5">
        <v>189.0</v>
      </c>
      <c r="B190" s="22" t="s">
        <v>404</v>
      </c>
      <c r="C190" s="6" t="str">
        <f>IFERROR(__xludf.DUMMYFUNCTION("REGEXEXTRACT(B190, ""^[A-Z0-9-]+"")"),"CS-312")</f>
        <v>CS-312</v>
      </c>
      <c r="D190" s="22" t="s">
        <v>405</v>
      </c>
      <c r="E190" s="23" t="s">
        <v>10</v>
      </c>
      <c r="F190" s="22" t="s">
        <v>19</v>
      </c>
      <c r="G190" s="8" t="s">
        <v>39</v>
      </c>
      <c r="H190" s="5" t="str">
        <f>IFERROR(__xludf.DUMMYFUNCTION("REGEXEXTRACT(B190, ""\((\d+)\)"")"),"3")</f>
        <v>3</v>
      </c>
      <c r="I190" s="5"/>
      <c r="J190" s="5"/>
      <c r="K190" s="5"/>
      <c r="L190" s="5"/>
    </row>
    <row r="191" ht="35.25" customHeight="1">
      <c r="A191" s="5">
        <v>190.0</v>
      </c>
      <c r="B191" s="22" t="s">
        <v>406</v>
      </c>
      <c r="C191" s="6" t="str">
        <f>IFERROR(__xludf.DUMMYFUNCTION("REGEXEXTRACT(B191, ""^[A-Z0-9-]+"")"),"CS-313")</f>
        <v>CS-313</v>
      </c>
      <c r="D191" s="22" t="s">
        <v>407</v>
      </c>
      <c r="E191" s="23" t="s">
        <v>10</v>
      </c>
      <c r="F191" s="22" t="s">
        <v>15</v>
      </c>
      <c r="G191" s="8" t="s">
        <v>12</v>
      </c>
      <c r="H191" s="5" t="str">
        <f>IFERROR(__xludf.DUMMYFUNCTION("REGEXEXTRACT(B191, ""\((\d+)\)"")"),"4")</f>
        <v>4</v>
      </c>
      <c r="I191" s="5"/>
      <c r="J191" s="5"/>
      <c r="K191" s="5"/>
      <c r="L191" s="5"/>
    </row>
    <row r="192" ht="35.25" customHeight="1">
      <c r="A192" s="5">
        <v>191.0</v>
      </c>
      <c r="B192" s="22" t="s">
        <v>408</v>
      </c>
      <c r="C192" s="6" t="str">
        <f>IFERROR(__xludf.DUMMYFUNCTION("REGEXEXTRACT(B192, ""^[A-Z0-9-]+"")"),"CS-347")</f>
        <v>CS-347</v>
      </c>
      <c r="D192" s="22" t="s">
        <v>409</v>
      </c>
      <c r="E192" s="23" t="s">
        <v>10</v>
      </c>
      <c r="F192" s="22" t="s">
        <v>15</v>
      </c>
      <c r="G192" s="8" t="s">
        <v>16</v>
      </c>
      <c r="H192" s="5" t="str">
        <f>IFERROR(__xludf.DUMMYFUNCTION("REGEXEXTRACT(B192, ""\((\d+)\)"")"),"4")</f>
        <v>4</v>
      </c>
      <c r="I192" s="5"/>
      <c r="J192" s="5"/>
      <c r="K192" s="5"/>
      <c r="L192" s="5"/>
    </row>
    <row r="193" ht="35.25" customHeight="1">
      <c r="A193" s="5">
        <v>192.0</v>
      </c>
      <c r="B193" s="22" t="s">
        <v>410</v>
      </c>
      <c r="C193" s="6" t="str">
        <f>IFERROR(__xludf.DUMMYFUNCTION("REGEXEXTRACT(B193, ""^[A-Z0-9-]+"")"),"CS-362")</f>
        <v>CS-362</v>
      </c>
      <c r="D193" s="22" t="s">
        <v>397</v>
      </c>
      <c r="E193" s="23" t="s">
        <v>10</v>
      </c>
      <c r="F193" s="22" t="s">
        <v>19</v>
      </c>
      <c r="G193" s="8" t="s">
        <v>20</v>
      </c>
      <c r="H193" s="5" t="str">
        <f>IFERROR(__xludf.DUMMYFUNCTION("REGEXEXTRACT(B193, ""\((\d+)\)"")"),"3")</f>
        <v>3</v>
      </c>
      <c r="I193" s="5"/>
      <c r="J193" s="5"/>
      <c r="K193" s="5"/>
      <c r="L193" s="5"/>
    </row>
    <row r="194" ht="35.25" customHeight="1">
      <c r="A194" s="5">
        <v>193.0</v>
      </c>
      <c r="B194" s="14" t="s">
        <v>411</v>
      </c>
      <c r="C194" s="6" t="str">
        <f>IFERROR(__xludf.DUMMYFUNCTION("REGEXEXTRACT(B194, ""^[A-Z0-9-]+"")"),"CS-402")</f>
        <v>CS-402</v>
      </c>
      <c r="D194" s="14" t="s">
        <v>412</v>
      </c>
      <c r="E194" s="15" t="s">
        <v>10</v>
      </c>
      <c r="F194" s="14" t="s">
        <v>385</v>
      </c>
      <c r="G194" s="8" t="s">
        <v>24</v>
      </c>
      <c r="H194" s="5" t="str">
        <f>IFERROR(__xludf.DUMMYFUNCTION("REGEXEXTRACT(B194, ""\((\d+)\)"")"),"3")</f>
        <v>3</v>
      </c>
      <c r="I194" s="5"/>
      <c r="J194" s="5"/>
      <c r="K194" s="5"/>
      <c r="L194" s="5"/>
    </row>
    <row r="195" ht="35.25" customHeight="1">
      <c r="A195" s="5">
        <v>194.0</v>
      </c>
      <c r="B195" s="14" t="s">
        <v>413</v>
      </c>
      <c r="C195" s="6" t="str">
        <f>IFERROR(__xludf.DUMMYFUNCTION("REGEXEXTRACT(B195, ""^[A-Z0-9-]+"")"),"CS-403")</f>
        <v>CS-403</v>
      </c>
      <c r="D195" s="14" t="s">
        <v>414</v>
      </c>
      <c r="E195" s="15" t="s">
        <v>10</v>
      </c>
      <c r="F195" s="14" t="s">
        <v>15</v>
      </c>
      <c r="G195" s="8" t="s">
        <v>27</v>
      </c>
      <c r="H195" s="5" t="str">
        <f>IFERROR(__xludf.DUMMYFUNCTION("REGEXEXTRACT(B195, ""\((\d+)\)"")"),"4")</f>
        <v>4</v>
      </c>
      <c r="I195" s="5"/>
      <c r="J195" s="5"/>
      <c r="K195" s="5"/>
      <c r="L195" s="5"/>
    </row>
    <row r="196" ht="35.25" customHeight="1">
      <c r="A196" s="5">
        <v>195.0</v>
      </c>
      <c r="B196" s="14" t="s">
        <v>415</v>
      </c>
      <c r="C196" s="6" t="str">
        <f>IFERROR(__xludf.DUMMYFUNCTION("REGEXEXTRACT(B196, ""^[A-Z0-9-]+"")"),"CS-406")</f>
        <v>CS-406</v>
      </c>
      <c r="D196" s="14" t="s">
        <v>407</v>
      </c>
      <c r="E196" s="15" t="s">
        <v>10</v>
      </c>
      <c r="F196" s="14" t="s">
        <v>11</v>
      </c>
      <c r="G196" s="8" t="s">
        <v>30</v>
      </c>
      <c r="H196" s="5" t="str">
        <f>IFERROR(__xludf.DUMMYFUNCTION("REGEXEXTRACT(B196, ""\((\d+)\)"")"),"4")</f>
        <v>4</v>
      </c>
      <c r="I196" s="5"/>
      <c r="J196" s="5"/>
      <c r="K196" s="5"/>
      <c r="L196" s="5"/>
    </row>
    <row r="197" ht="35.25" customHeight="1">
      <c r="A197" s="5">
        <v>196.0</v>
      </c>
      <c r="B197" s="14" t="s">
        <v>416</v>
      </c>
      <c r="C197" s="6" t="str">
        <f>IFERROR(__xludf.DUMMYFUNCTION("REGEXEXTRACT(B197, ""^[A-Z0-9-]+"")"),"CS")</f>
        <v>CS</v>
      </c>
      <c r="D197" s="14" t="s">
        <v>417</v>
      </c>
      <c r="E197" s="15" t="s">
        <v>10</v>
      </c>
      <c r="F197" s="14" t="s">
        <v>23</v>
      </c>
      <c r="G197" s="8" t="s">
        <v>33</v>
      </c>
      <c r="H197" s="5" t="str">
        <f>IFERROR(__xludf.DUMMYFUNCTION("REGEXEXTRACT(B197, ""\((\d+)\)"")"),"3")</f>
        <v>3</v>
      </c>
      <c r="I197" s="5"/>
      <c r="J197" s="5"/>
      <c r="K197" s="5"/>
      <c r="L197" s="5"/>
    </row>
    <row r="198" ht="35.25" customHeight="1">
      <c r="A198" s="5">
        <v>197.0</v>
      </c>
      <c r="B198" s="14" t="s">
        <v>418</v>
      </c>
      <c r="C198" s="6" t="str">
        <f>IFERROR(__xludf.DUMMYFUNCTION("REGEXEXTRACT(B198, ""^[A-Z0-9-]+"")"),"CS-456")</f>
        <v>CS-456</v>
      </c>
      <c r="D198" s="14" t="s">
        <v>419</v>
      </c>
      <c r="E198" s="15" t="s">
        <v>10</v>
      </c>
      <c r="F198" s="14" t="s">
        <v>19</v>
      </c>
      <c r="G198" s="8" t="s">
        <v>36</v>
      </c>
      <c r="H198" s="5" t="str">
        <f>IFERROR(__xludf.DUMMYFUNCTION("REGEXEXTRACT(B198, ""\((\d+)\)"")"),"3")</f>
        <v>3</v>
      </c>
      <c r="I198" s="5"/>
      <c r="J198" s="5"/>
      <c r="K198" s="5"/>
      <c r="L198" s="5"/>
    </row>
    <row r="199" ht="35.25" customHeight="1">
      <c r="A199" s="5">
        <v>198.0</v>
      </c>
      <c r="B199" s="14" t="s">
        <v>420</v>
      </c>
      <c r="C199" s="6" t="str">
        <f>IFERROR(__xludf.DUMMYFUNCTION("REGEXEXTRACT(B199, ""^[A-Z0-9-]+"")"),"CS")</f>
        <v>CS</v>
      </c>
      <c r="D199" s="14" t="s">
        <v>421</v>
      </c>
      <c r="E199" s="15" t="s">
        <v>10</v>
      </c>
      <c r="F199" s="14" t="s">
        <v>15</v>
      </c>
      <c r="G199" s="8" t="s">
        <v>39</v>
      </c>
      <c r="H199" s="5" t="str">
        <f>IFERROR(__xludf.DUMMYFUNCTION("REGEXEXTRACT(B199, ""\((\d+)\)"")"),"4")</f>
        <v>4</v>
      </c>
      <c r="I199" s="5"/>
      <c r="J199" s="5"/>
      <c r="K199" s="5"/>
      <c r="L199" s="5"/>
    </row>
    <row r="200" ht="35.25" customHeight="1">
      <c r="A200" s="5">
        <v>199.0</v>
      </c>
      <c r="B200" s="14" t="s">
        <v>422</v>
      </c>
      <c r="C200" s="6" t="str">
        <f>IFERROR(__xludf.DUMMYFUNCTION("REGEXEXTRACT(B200, ""^[A-Z0-9-]+"")"),"CS")</f>
        <v>CS</v>
      </c>
      <c r="D200" s="14" t="s">
        <v>423</v>
      </c>
      <c r="E200" s="15" t="s">
        <v>10</v>
      </c>
      <c r="F200" s="14" t="s">
        <v>424</v>
      </c>
      <c r="G200" s="8" t="s">
        <v>12</v>
      </c>
      <c r="H200" s="5" t="str">
        <f>IFERROR(__xludf.DUMMYFUNCTION("REGEXEXTRACT(B200, ""\((\d+)\)"")"),"3")</f>
        <v>3</v>
      </c>
      <c r="I200" s="5"/>
      <c r="J200" s="5"/>
      <c r="K200" s="5"/>
      <c r="L200" s="5"/>
    </row>
    <row r="201" ht="35.25" customHeight="1">
      <c r="A201" s="5">
        <v>200.0</v>
      </c>
      <c r="B201" s="14" t="s">
        <v>425</v>
      </c>
      <c r="C201" s="6" t="str">
        <f>IFERROR(__xludf.DUMMYFUNCTION("REGEXEXTRACT(B201, ""^[A-Z0-9-]+"")"),"CS-506")</f>
        <v>CS-506</v>
      </c>
      <c r="D201" s="14" t="s">
        <v>426</v>
      </c>
      <c r="E201" s="15" t="s">
        <v>10</v>
      </c>
      <c r="F201" s="14" t="s">
        <v>23</v>
      </c>
      <c r="G201" s="8" t="s">
        <v>16</v>
      </c>
      <c r="H201" s="5" t="str">
        <f>IFERROR(__xludf.DUMMYFUNCTION("REGEXEXTRACT(B201, ""\((\d+)\)"")"),"3")</f>
        <v>3</v>
      </c>
      <c r="I201" s="5"/>
      <c r="J201" s="5"/>
      <c r="K201" s="5"/>
      <c r="L201" s="5"/>
    </row>
    <row r="202" ht="35.25" customHeight="1">
      <c r="A202" s="5">
        <v>201.0</v>
      </c>
      <c r="B202" s="14" t="s">
        <v>427</v>
      </c>
      <c r="C202" s="6" t="str">
        <f>IFERROR(__xludf.DUMMYFUNCTION("REGEXEXTRACT(B202, ""^[A-Z0-9-]+"")"),"CS")</f>
        <v>CS</v>
      </c>
      <c r="D202" s="14" t="s">
        <v>428</v>
      </c>
      <c r="E202" s="15" t="s">
        <v>10</v>
      </c>
      <c r="F202" s="14" t="s">
        <v>15</v>
      </c>
      <c r="G202" s="8" t="s">
        <v>20</v>
      </c>
      <c r="H202" s="5" t="str">
        <f>IFERROR(__xludf.DUMMYFUNCTION("REGEXEXTRACT(B202, ""\((\d+)\)"")"),"4")</f>
        <v>4</v>
      </c>
      <c r="I202" s="5"/>
      <c r="J202" s="5"/>
      <c r="K202" s="5"/>
      <c r="L202" s="5"/>
    </row>
    <row r="203" ht="35.25" customHeight="1">
      <c r="A203" s="5">
        <v>202.0</v>
      </c>
      <c r="B203" s="14" t="s">
        <v>429</v>
      </c>
      <c r="C203" s="6" t="str">
        <f>IFERROR(__xludf.DUMMYFUNCTION("REGEXEXTRACT(B203, ""^[A-Z0-9-]+"")"),"CS-508")</f>
        <v>CS-508</v>
      </c>
      <c r="D203" s="14" t="s">
        <v>430</v>
      </c>
      <c r="E203" s="15" t="s">
        <v>10</v>
      </c>
      <c r="F203" s="14" t="s">
        <v>19</v>
      </c>
      <c r="G203" s="8" t="s">
        <v>24</v>
      </c>
      <c r="H203" s="5" t="str">
        <f>IFERROR(__xludf.DUMMYFUNCTION("REGEXEXTRACT(B203, ""\((\d+)\)"")"),"3")</f>
        <v>3</v>
      </c>
      <c r="I203" s="5"/>
      <c r="J203" s="5"/>
      <c r="K203" s="5"/>
      <c r="L203" s="5"/>
    </row>
    <row r="204" ht="35.25" customHeight="1">
      <c r="A204" s="5">
        <v>203.0</v>
      </c>
      <c r="B204" s="14" t="s">
        <v>431</v>
      </c>
      <c r="C204" s="6" t="str">
        <f>IFERROR(__xludf.DUMMYFUNCTION("REGEXEXTRACT(B204, ""^[A-Z0-9-]+"")"),"CS-508")</f>
        <v>CS-508</v>
      </c>
      <c r="D204" s="14" t="s">
        <v>432</v>
      </c>
      <c r="E204" s="15" t="s">
        <v>10</v>
      </c>
      <c r="F204" s="14" t="s">
        <v>60</v>
      </c>
      <c r="G204" s="8" t="s">
        <v>27</v>
      </c>
      <c r="H204" s="5" t="str">
        <f>IFERROR(__xludf.DUMMYFUNCTION("REGEXEXTRACT(B204, ""\((\d+)\)"")"),"2")</f>
        <v>2</v>
      </c>
      <c r="I204" s="5"/>
      <c r="J204" s="5"/>
      <c r="K204" s="5"/>
      <c r="L204" s="5"/>
    </row>
    <row r="205" ht="35.25" customHeight="1">
      <c r="A205" s="5">
        <v>204.0</v>
      </c>
      <c r="B205" s="22" t="s">
        <v>433</v>
      </c>
      <c r="C205" s="6" t="str">
        <f>IFERROR(__xludf.DUMMYFUNCTION("REGEXEXTRACT(B205, ""^[A-Z0-9-]+"")"),"CS-510")</f>
        <v>CS-510</v>
      </c>
      <c r="D205" s="22" t="s">
        <v>434</v>
      </c>
      <c r="E205" s="23" t="s">
        <v>87</v>
      </c>
      <c r="F205" s="22" t="s">
        <v>435</v>
      </c>
      <c r="G205" s="8" t="s">
        <v>30</v>
      </c>
      <c r="H205" s="5" t="str">
        <f>IFERROR(__xludf.DUMMYFUNCTION("REGEXEXTRACT(B205, ""\((\d+)\)"")"),"4")</f>
        <v>4</v>
      </c>
      <c r="I205" s="5"/>
      <c r="J205" s="5"/>
      <c r="K205" s="5"/>
      <c r="L205" s="5"/>
    </row>
    <row r="206" ht="35.25" customHeight="1">
      <c r="A206" s="5">
        <v>205.0</v>
      </c>
      <c r="B206" s="14" t="s">
        <v>436</v>
      </c>
      <c r="C206" s="6" t="str">
        <f>IFERROR(__xludf.DUMMYFUNCTION("REGEXEXTRACT(B206, ""^[A-Z0-9-]+"")"),"CS")</f>
        <v>CS</v>
      </c>
      <c r="D206" s="14" t="s">
        <v>437</v>
      </c>
      <c r="E206" s="15" t="s">
        <v>10</v>
      </c>
      <c r="F206" s="14" t="s">
        <v>60</v>
      </c>
      <c r="G206" s="8" t="s">
        <v>33</v>
      </c>
      <c r="H206" s="5" t="str">
        <f>IFERROR(__xludf.DUMMYFUNCTION("REGEXEXTRACT(B206, ""\((\d+)\)"")"),"2")</f>
        <v>2</v>
      </c>
      <c r="I206" s="5"/>
      <c r="J206" s="5"/>
      <c r="K206" s="5"/>
      <c r="L206" s="5"/>
    </row>
    <row r="207" ht="35.25" customHeight="1">
      <c r="A207" s="5">
        <v>206.0</v>
      </c>
      <c r="B207" s="14" t="s">
        <v>438</v>
      </c>
      <c r="C207" s="6" t="str">
        <f>IFERROR(__xludf.DUMMYFUNCTION("REGEXEXTRACT(B207, ""^[A-Z0-9-]+"")"),"CS")</f>
        <v>CS</v>
      </c>
      <c r="D207" s="14" t="s">
        <v>439</v>
      </c>
      <c r="E207" s="15" t="s">
        <v>10</v>
      </c>
      <c r="F207" s="14" t="s">
        <v>60</v>
      </c>
      <c r="G207" s="8" t="s">
        <v>36</v>
      </c>
      <c r="H207" s="5" t="str">
        <f>IFERROR(__xludf.DUMMYFUNCTION("REGEXEXTRACT(B207, ""\((\d+)\)"")"),"2")</f>
        <v>2</v>
      </c>
      <c r="I207" s="5"/>
      <c r="J207" s="5"/>
      <c r="K207" s="5"/>
      <c r="L207" s="5"/>
    </row>
    <row r="208" ht="35.25" customHeight="1">
      <c r="A208" s="5">
        <v>207.0</v>
      </c>
      <c r="B208" s="14" t="s">
        <v>440</v>
      </c>
      <c r="C208" s="6" t="str">
        <f>IFERROR(__xludf.DUMMYFUNCTION("REGEXEXTRACT(B208, ""^[A-Z0-9-]+"")"),"CS")</f>
        <v>CS</v>
      </c>
      <c r="D208" s="14" t="s">
        <v>441</v>
      </c>
      <c r="E208" s="15" t="s">
        <v>10</v>
      </c>
      <c r="F208" s="14" t="s">
        <v>11</v>
      </c>
      <c r="G208" s="8" t="s">
        <v>39</v>
      </c>
      <c r="H208" s="5" t="str">
        <f>IFERROR(__xludf.DUMMYFUNCTION("REGEXEXTRACT(B208, ""\((\d+)\)"")"),"4")</f>
        <v>4</v>
      </c>
      <c r="I208" s="5"/>
      <c r="J208" s="5"/>
      <c r="K208" s="5"/>
      <c r="L208" s="5"/>
    </row>
    <row r="209" ht="35.25" customHeight="1">
      <c r="A209" s="5">
        <v>208.0</v>
      </c>
      <c r="B209" s="14" t="s">
        <v>442</v>
      </c>
      <c r="C209" s="6" t="str">
        <f>IFERROR(__xludf.DUMMYFUNCTION("REGEXEXTRACT(B209, ""^[A-Z0-9-]+"")"),"CS")</f>
        <v>CS</v>
      </c>
      <c r="D209" s="14" t="s">
        <v>443</v>
      </c>
      <c r="E209" s="15" t="s">
        <v>10</v>
      </c>
      <c r="F209" s="14" t="s">
        <v>15</v>
      </c>
      <c r="G209" s="8" t="s">
        <v>12</v>
      </c>
      <c r="H209" s="5" t="str">
        <f>IFERROR(__xludf.DUMMYFUNCTION("REGEXEXTRACT(B209, ""\((\d+)\)"")"),"4")</f>
        <v>4</v>
      </c>
      <c r="I209" s="5"/>
      <c r="J209" s="5"/>
      <c r="K209" s="5"/>
      <c r="L209" s="5"/>
    </row>
    <row r="210" ht="35.25" customHeight="1">
      <c r="A210" s="5">
        <v>209.0</v>
      </c>
      <c r="B210" s="14" t="s">
        <v>444</v>
      </c>
      <c r="C210" s="6" t="str">
        <f>IFERROR(__xludf.DUMMYFUNCTION("REGEXEXTRACT(B210, ""^[A-Z0-9-]+"")"),"CS")</f>
        <v>CS</v>
      </c>
      <c r="D210" s="14" t="s">
        <v>445</v>
      </c>
      <c r="E210" s="15" t="s">
        <v>10</v>
      </c>
      <c r="F210" s="14" t="s">
        <v>23</v>
      </c>
      <c r="G210" s="8" t="s">
        <v>16</v>
      </c>
      <c r="H210" s="5" t="str">
        <f>IFERROR(__xludf.DUMMYFUNCTION("REGEXEXTRACT(B210, ""\((\d+)\)"")"),"3")</f>
        <v>3</v>
      </c>
      <c r="I210" s="5"/>
      <c r="J210" s="5"/>
      <c r="K210" s="5"/>
      <c r="L210" s="5"/>
    </row>
    <row r="211" ht="35.25" customHeight="1">
      <c r="A211" s="5">
        <v>210.0</v>
      </c>
      <c r="B211" s="14" t="s">
        <v>446</v>
      </c>
      <c r="C211" s="6" t="str">
        <f>IFERROR(__xludf.DUMMYFUNCTION("REGEXEXTRACT(B211, ""^[A-Z0-9-]+"")"),"CS")</f>
        <v>CS</v>
      </c>
      <c r="D211" s="6" t="s">
        <v>447</v>
      </c>
      <c r="E211" s="7" t="s">
        <v>10</v>
      </c>
      <c r="F211" s="14" t="s">
        <v>345</v>
      </c>
      <c r="G211" s="8" t="s">
        <v>20</v>
      </c>
      <c r="H211" s="5" t="str">
        <f>IFERROR(__xludf.DUMMYFUNCTION("REGEXEXTRACT(B211, ""\((\d+)\)"")"),"3")</f>
        <v>3</v>
      </c>
      <c r="I211" s="5"/>
      <c r="J211" s="5"/>
      <c r="K211" s="5"/>
      <c r="L211" s="5"/>
    </row>
    <row r="212" ht="35.25" customHeight="1">
      <c r="A212" s="5">
        <v>211.0</v>
      </c>
      <c r="B212" s="22" t="s">
        <v>448</v>
      </c>
      <c r="C212" s="6" t="str">
        <f>IFERROR(__xludf.DUMMYFUNCTION("REGEXEXTRACT(B212, ""^[A-Z0-9-]+"")"),"CS-520")</f>
        <v>CS-520</v>
      </c>
      <c r="D212" s="22" t="s">
        <v>449</v>
      </c>
      <c r="E212" s="23" t="s">
        <v>87</v>
      </c>
      <c r="F212" s="22" t="s">
        <v>450</v>
      </c>
      <c r="G212" s="8" t="s">
        <v>24</v>
      </c>
      <c r="H212" s="5" t="str">
        <f>IFERROR(__xludf.DUMMYFUNCTION("REGEXEXTRACT(B212, ""\((\d+)\)"")"),"3")</f>
        <v>3</v>
      </c>
      <c r="I212" s="5"/>
      <c r="J212" s="5"/>
      <c r="K212" s="5"/>
      <c r="L212" s="5"/>
    </row>
    <row r="213" ht="35.25" customHeight="1">
      <c r="A213" s="5">
        <v>212.0</v>
      </c>
      <c r="B213" s="14" t="s">
        <v>451</v>
      </c>
      <c r="C213" s="6" t="str">
        <f>IFERROR(__xludf.DUMMYFUNCTION("REGEXEXTRACT(B213, ""^[A-Z0-9-]+"")"),"CS-522")</f>
        <v>CS-522</v>
      </c>
      <c r="D213" s="14" t="s">
        <v>452</v>
      </c>
      <c r="E213" s="15" t="s">
        <v>10</v>
      </c>
      <c r="F213" s="14" t="s">
        <v>19</v>
      </c>
      <c r="G213" s="8" t="s">
        <v>27</v>
      </c>
      <c r="H213" s="5" t="str">
        <f>IFERROR(__xludf.DUMMYFUNCTION("REGEXEXTRACT(B213, ""\((\d+)\)"")"),"3")</f>
        <v>3</v>
      </c>
      <c r="I213" s="5"/>
      <c r="J213" s="5"/>
      <c r="K213" s="5"/>
      <c r="L213" s="5"/>
    </row>
    <row r="214" ht="35.25" customHeight="1">
      <c r="A214" s="5">
        <v>213.0</v>
      </c>
      <c r="B214" s="14" t="s">
        <v>453</v>
      </c>
      <c r="C214" s="6" t="str">
        <f>IFERROR(__xludf.DUMMYFUNCTION("REGEXEXTRACT(B214, ""^[A-Z0-9-]+"")"),"CS")</f>
        <v>CS</v>
      </c>
      <c r="D214" s="14" t="s">
        <v>454</v>
      </c>
      <c r="E214" s="15" t="s">
        <v>10</v>
      </c>
      <c r="F214" s="14" t="s">
        <v>19</v>
      </c>
      <c r="G214" s="8" t="s">
        <v>30</v>
      </c>
      <c r="H214" s="5" t="str">
        <f>IFERROR(__xludf.DUMMYFUNCTION("REGEXEXTRACT(B214, ""\((\d+)\)"")"),"3")</f>
        <v>3</v>
      </c>
      <c r="I214" s="5"/>
      <c r="J214" s="5"/>
      <c r="K214" s="5"/>
      <c r="L214" s="5"/>
    </row>
    <row r="215" ht="35.25" customHeight="1">
      <c r="A215" s="5">
        <v>214.0</v>
      </c>
      <c r="B215" s="14" t="s">
        <v>455</v>
      </c>
      <c r="C215" s="6" t="str">
        <f>IFERROR(__xludf.DUMMYFUNCTION("REGEXEXTRACT(B215, ""^[A-Z0-9-]+"")"),"CS")</f>
        <v>CS</v>
      </c>
      <c r="D215" s="14" t="s">
        <v>456</v>
      </c>
      <c r="E215" s="15" t="s">
        <v>10</v>
      </c>
      <c r="F215" s="14" t="s">
        <v>424</v>
      </c>
      <c r="G215" s="8" t="s">
        <v>33</v>
      </c>
      <c r="H215" s="5" t="str">
        <f>IFERROR(__xludf.DUMMYFUNCTION("REGEXEXTRACT(B215, ""\((\d+)\)"")"),"3")</f>
        <v>3</v>
      </c>
      <c r="I215" s="5"/>
      <c r="J215" s="5"/>
      <c r="K215" s="5"/>
      <c r="L215" s="5"/>
    </row>
    <row r="216" ht="35.25" customHeight="1">
      <c r="A216" s="5">
        <v>215.0</v>
      </c>
      <c r="B216" s="14" t="s">
        <v>457</v>
      </c>
      <c r="C216" s="6" t="str">
        <f>IFERROR(__xludf.DUMMYFUNCTION("REGEXEXTRACT(B216, ""^[A-Z0-9-]+"")"),"CS")</f>
        <v>CS</v>
      </c>
      <c r="D216" s="14" t="s">
        <v>458</v>
      </c>
      <c r="E216" s="15" t="s">
        <v>10</v>
      </c>
      <c r="F216" s="14" t="s">
        <v>19</v>
      </c>
      <c r="G216" s="8" t="s">
        <v>36</v>
      </c>
      <c r="H216" s="5" t="str">
        <f>IFERROR(__xludf.DUMMYFUNCTION("REGEXEXTRACT(B216, ""\((\d+)\)"")"),"3")</f>
        <v>3</v>
      </c>
      <c r="I216" s="5"/>
      <c r="J216" s="5"/>
      <c r="K216" s="5"/>
      <c r="L216" s="5"/>
    </row>
    <row r="217" ht="35.25" customHeight="1">
      <c r="A217" s="5">
        <v>216.0</v>
      </c>
      <c r="B217" s="14" t="s">
        <v>459</v>
      </c>
      <c r="C217" s="6" t="str">
        <f>IFERROR(__xludf.DUMMYFUNCTION("REGEXEXTRACT(B217, ""^[A-Z0-9-]+"")"),"CS")</f>
        <v>CS</v>
      </c>
      <c r="D217" s="14" t="s">
        <v>460</v>
      </c>
      <c r="E217" s="15" t="s">
        <v>10</v>
      </c>
      <c r="F217" s="14" t="s">
        <v>19</v>
      </c>
      <c r="G217" s="8" t="s">
        <v>39</v>
      </c>
      <c r="H217" s="5" t="str">
        <f>IFERROR(__xludf.DUMMYFUNCTION("REGEXEXTRACT(B217, ""\((\d+)\)"")"),"3")</f>
        <v>3</v>
      </c>
      <c r="I217" s="5"/>
      <c r="J217" s="5"/>
      <c r="K217" s="5"/>
      <c r="L217" s="5"/>
    </row>
    <row r="218" ht="35.25" customHeight="1">
      <c r="A218" s="5">
        <v>217.0</v>
      </c>
      <c r="B218" s="14" t="s">
        <v>461</v>
      </c>
      <c r="C218" s="6" t="str">
        <f>IFERROR(__xludf.DUMMYFUNCTION("REGEXEXTRACT(B218, ""^[A-Z0-9-]+"")"),"CS-545")</f>
        <v>CS-545</v>
      </c>
      <c r="D218" s="14" t="s">
        <v>462</v>
      </c>
      <c r="E218" s="15" t="s">
        <v>10</v>
      </c>
      <c r="F218" s="14" t="s">
        <v>19</v>
      </c>
      <c r="G218" s="8" t="s">
        <v>12</v>
      </c>
      <c r="H218" s="5" t="str">
        <f>IFERROR(__xludf.DUMMYFUNCTION("REGEXEXTRACT(B218, ""\((\d+)\)"")"),"3")</f>
        <v>3</v>
      </c>
      <c r="I218" s="5"/>
      <c r="J218" s="5"/>
      <c r="K218" s="5"/>
      <c r="L218" s="5"/>
    </row>
    <row r="219" ht="35.25" customHeight="1">
      <c r="A219" s="5">
        <v>218.0</v>
      </c>
      <c r="B219" s="14" t="s">
        <v>463</v>
      </c>
      <c r="C219" s="6" t="str">
        <f>IFERROR(__xludf.DUMMYFUNCTION("REGEXEXTRACT(B219, ""^[A-Z0-9-]+"")"),"CS-546")</f>
        <v>CS-546</v>
      </c>
      <c r="D219" s="14" t="s">
        <v>464</v>
      </c>
      <c r="E219" s="15" t="s">
        <v>10</v>
      </c>
      <c r="F219" s="14" t="s">
        <v>19</v>
      </c>
      <c r="G219" s="8" t="s">
        <v>16</v>
      </c>
      <c r="H219" s="5" t="str">
        <f>IFERROR(__xludf.DUMMYFUNCTION("REGEXEXTRACT(B219, ""\((\d+)\)"")"),"3")</f>
        <v>3</v>
      </c>
      <c r="I219" s="5"/>
      <c r="J219" s="5"/>
      <c r="K219" s="5"/>
      <c r="L219" s="5"/>
    </row>
    <row r="220" ht="35.25" customHeight="1">
      <c r="A220" s="5">
        <v>219.0</v>
      </c>
      <c r="B220" s="14" t="s">
        <v>465</v>
      </c>
      <c r="C220" s="6" t="str">
        <f>IFERROR(__xludf.DUMMYFUNCTION("REGEXEXTRACT(B220, ""^[A-Z0-9-]+"")"),"CS-548")</f>
        <v>CS-548</v>
      </c>
      <c r="D220" s="14" t="s">
        <v>466</v>
      </c>
      <c r="E220" s="15" t="s">
        <v>10</v>
      </c>
      <c r="F220" s="14" t="s">
        <v>19</v>
      </c>
      <c r="G220" s="8" t="s">
        <v>20</v>
      </c>
      <c r="H220" s="5" t="str">
        <f>IFERROR(__xludf.DUMMYFUNCTION("REGEXEXTRACT(B220, ""\((\d+)\)"")"),"3")</f>
        <v>3</v>
      </c>
      <c r="I220" s="5"/>
      <c r="J220" s="5"/>
      <c r="K220" s="5"/>
      <c r="L220" s="5"/>
    </row>
    <row r="221" ht="35.25" customHeight="1">
      <c r="A221" s="5">
        <v>220.0</v>
      </c>
      <c r="B221" s="14" t="s">
        <v>467</v>
      </c>
      <c r="C221" s="6" t="str">
        <f>IFERROR(__xludf.DUMMYFUNCTION("REGEXEXTRACT(B221, ""^[A-Z0-9-]+"")"),"CS-549")</f>
        <v>CS-549</v>
      </c>
      <c r="D221" s="14" t="s">
        <v>468</v>
      </c>
      <c r="E221" s="15" t="s">
        <v>10</v>
      </c>
      <c r="F221" s="14" t="s">
        <v>19</v>
      </c>
      <c r="G221" s="8" t="s">
        <v>24</v>
      </c>
      <c r="H221" s="5" t="str">
        <f>IFERROR(__xludf.DUMMYFUNCTION("REGEXEXTRACT(B221, ""\((\d+)\)"")"),"3")</f>
        <v>3</v>
      </c>
      <c r="I221" s="5"/>
      <c r="J221" s="5"/>
      <c r="K221" s="5"/>
      <c r="L221" s="5"/>
    </row>
    <row r="222" ht="35.25" customHeight="1">
      <c r="A222" s="5">
        <v>221.0</v>
      </c>
      <c r="B222" s="14" t="s">
        <v>469</v>
      </c>
      <c r="C222" s="6" t="str">
        <f>IFERROR(__xludf.DUMMYFUNCTION("REGEXEXTRACT(B222, ""^[A-Z0-9-]+"")"),"CS")</f>
        <v>CS</v>
      </c>
      <c r="D222" s="14" t="s">
        <v>470</v>
      </c>
      <c r="E222" s="15" t="s">
        <v>10</v>
      </c>
      <c r="F222" s="14" t="s">
        <v>19</v>
      </c>
      <c r="G222" s="8" t="s">
        <v>27</v>
      </c>
      <c r="H222" s="5" t="str">
        <f>IFERROR(__xludf.DUMMYFUNCTION("REGEXEXTRACT(B222, ""\((\d+)\)"")"),"3")</f>
        <v>3</v>
      </c>
      <c r="I222" s="5"/>
      <c r="J222" s="5"/>
      <c r="K222" s="5"/>
      <c r="L222" s="5"/>
    </row>
    <row r="223" ht="35.25" customHeight="1">
      <c r="A223" s="5">
        <v>222.0</v>
      </c>
      <c r="B223" s="14" t="s">
        <v>471</v>
      </c>
      <c r="C223" s="6" t="str">
        <f>IFERROR(__xludf.DUMMYFUNCTION("REGEXEXTRACT(B223, ""^[A-Z0-9-]+"")"),"CS-550")</f>
        <v>CS-550</v>
      </c>
      <c r="D223" s="14" t="s">
        <v>472</v>
      </c>
      <c r="E223" s="15" t="s">
        <v>10</v>
      </c>
      <c r="F223" s="14" t="s">
        <v>23</v>
      </c>
      <c r="G223" s="8" t="s">
        <v>30</v>
      </c>
      <c r="H223" s="5" t="str">
        <f>IFERROR(__xludf.DUMMYFUNCTION("REGEXEXTRACT(B223, ""\((\d+)\)"")"),"3")</f>
        <v>3</v>
      </c>
      <c r="I223" s="5"/>
      <c r="J223" s="5"/>
      <c r="K223" s="5"/>
      <c r="L223" s="5"/>
    </row>
    <row r="224" ht="35.25" customHeight="1">
      <c r="A224" s="5">
        <v>223.0</v>
      </c>
      <c r="B224" s="14" t="s">
        <v>473</v>
      </c>
      <c r="C224" s="6" t="str">
        <f>IFERROR(__xludf.DUMMYFUNCTION("REGEXEXTRACT(B224, ""^[A-Z0-9-]+"")"),"CS")</f>
        <v>CS</v>
      </c>
      <c r="D224" s="14" t="s">
        <v>474</v>
      </c>
      <c r="E224" s="15" t="s">
        <v>10</v>
      </c>
      <c r="F224" s="14" t="s">
        <v>19</v>
      </c>
      <c r="G224" s="8" t="s">
        <v>33</v>
      </c>
      <c r="H224" s="5" t="str">
        <f>IFERROR(__xludf.DUMMYFUNCTION("REGEXEXTRACT(B224, ""\((\d+)\)"")"),"3")</f>
        <v>3</v>
      </c>
      <c r="I224" s="5"/>
      <c r="J224" s="5"/>
      <c r="K224" s="5"/>
      <c r="L224" s="5"/>
    </row>
    <row r="225" ht="35.25" customHeight="1">
      <c r="A225" s="5">
        <v>224.0</v>
      </c>
      <c r="B225" s="14" t="s">
        <v>475</v>
      </c>
      <c r="C225" s="6" t="str">
        <f>IFERROR(__xludf.DUMMYFUNCTION("REGEXEXTRACT(B225, ""^[A-Z0-9-]+"")"),"CS-560")</f>
        <v>CS-560</v>
      </c>
      <c r="D225" s="14" t="s">
        <v>476</v>
      </c>
      <c r="E225" s="15" t="s">
        <v>10</v>
      </c>
      <c r="F225" s="14" t="s">
        <v>19</v>
      </c>
      <c r="G225" s="8" t="s">
        <v>36</v>
      </c>
      <c r="H225" s="5" t="str">
        <f>IFERROR(__xludf.DUMMYFUNCTION("REGEXEXTRACT(B225, ""\((\d+)\)"")"),"3")</f>
        <v>3</v>
      </c>
      <c r="I225" s="5"/>
      <c r="J225" s="5"/>
      <c r="K225" s="5"/>
      <c r="L225" s="5"/>
    </row>
    <row r="226" ht="35.25" customHeight="1">
      <c r="A226" s="5">
        <v>225.0</v>
      </c>
      <c r="B226" s="14" t="s">
        <v>477</v>
      </c>
      <c r="C226" s="6" t="str">
        <f>IFERROR(__xludf.DUMMYFUNCTION("REGEXEXTRACT(B226, ""^[A-Z0-9-]+"")"),"CS-561")</f>
        <v>CS-561</v>
      </c>
      <c r="D226" s="14" t="s">
        <v>478</v>
      </c>
      <c r="E226" s="15" t="s">
        <v>10</v>
      </c>
      <c r="F226" s="14" t="s">
        <v>19</v>
      </c>
      <c r="G226" s="8" t="s">
        <v>39</v>
      </c>
      <c r="H226" s="5" t="str">
        <f>IFERROR(__xludf.DUMMYFUNCTION("REGEXEXTRACT(B226, ""\((\d+)\)"")"),"3")</f>
        <v>3</v>
      </c>
      <c r="I226" s="5"/>
      <c r="J226" s="5"/>
      <c r="K226" s="5"/>
      <c r="L226" s="5"/>
    </row>
    <row r="227" ht="35.25" customHeight="1">
      <c r="A227" s="5">
        <v>226.0</v>
      </c>
      <c r="B227" s="14" t="s">
        <v>479</v>
      </c>
      <c r="C227" s="6" t="str">
        <f>IFERROR(__xludf.DUMMYFUNCTION("REGEXEXTRACT(B227, ""^[A-Z0-9-]+"")"),"CS")</f>
        <v>CS</v>
      </c>
      <c r="D227" s="14" t="s">
        <v>397</v>
      </c>
      <c r="E227" s="15" t="s">
        <v>10</v>
      </c>
      <c r="F227" s="14" t="s">
        <v>19</v>
      </c>
      <c r="G227" s="8" t="s">
        <v>12</v>
      </c>
      <c r="H227" s="5" t="str">
        <f>IFERROR(__xludf.DUMMYFUNCTION("REGEXEXTRACT(B227, ""\((\d+)\)"")"),"3")</f>
        <v>3</v>
      </c>
      <c r="I227" s="5"/>
      <c r="J227" s="5"/>
      <c r="K227" s="5"/>
      <c r="L227" s="5"/>
    </row>
    <row r="228" ht="35.25" customHeight="1">
      <c r="A228" s="5">
        <v>227.0</v>
      </c>
      <c r="B228" s="14" t="s">
        <v>480</v>
      </c>
      <c r="C228" s="6" t="str">
        <f>IFERROR(__xludf.DUMMYFUNCTION("REGEXEXTRACT(B228, ""^[A-Z0-9-]+"")"),"CS-563")</f>
        <v>CS-563</v>
      </c>
      <c r="D228" s="14" t="s">
        <v>481</v>
      </c>
      <c r="E228" s="15" t="s">
        <v>10</v>
      </c>
      <c r="F228" s="14" t="s">
        <v>11</v>
      </c>
      <c r="G228" s="8" t="s">
        <v>16</v>
      </c>
      <c r="H228" s="5" t="str">
        <f>IFERROR(__xludf.DUMMYFUNCTION("REGEXEXTRACT(B228, ""\((\d+)\)"")"),"4")</f>
        <v>4</v>
      </c>
      <c r="I228" s="5"/>
      <c r="J228" s="5"/>
      <c r="K228" s="5"/>
      <c r="L228" s="5"/>
    </row>
    <row r="229" ht="35.25" customHeight="1">
      <c r="A229" s="5">
        <v>228.0</v>
      </c>
      <c r="B229" s="14" t="s">
        <v>482</v>
      </c>
      <c r="C229" s="6" t="str">
        <f>IFERROR(__xludf.DUMMYFUNCTION("REGEXEXTRACT(B229, ""^[A-Z0-9-]+"")"),"CS")</f>
        <v>CS</v>
      </c>
      <c r="D229" s="14" t="s">
        <v>483</v>
      </c>
      <c r="E229" s="15" t="s">
        <v>10</v>
      </c>
      <c r="F229" s="14" t="s">
        <v>424</v>
      </c>
      <c r="G229" s="8" t="s">
        <v>20</v>
      </c>
      <c r="H229" s="5" t="str">
        <f>IFERROR(__xludf.DUMMYFUNCTION("REGEXEXTRACT(B229, ""\((\d+)\)"")"),"3")</f>
        <v>3</v>
      </c>
      <c r="I229" s="5"/>
      <c r="J229" s="5"/>
      <c r="K229" s="5"/>
      <c r="L229" s="5"/>
    </row>
    <row r="230" ht="35.25" customHeight="1">
      <c r="A230" s="5">
        <v>229.0</v>
      </c>
      <c r="B230" s="14" t="s">
        <v>484</v>
      </c>
      <c r="C230" s="6" t="str">
        <f>IFERROR(__xludf.DUMMYFUNCTION("REGEXEXTRACT(B230, ""^[A-Z0-9-]+"")"),"CS-601")</f>
        <v>CS-601</v>
      </c>
      <c r="D230" s="14" t="s">
        <v>485</v>
      </c>
      <c r="E230" s="15" t="s">
        <v>10</v>
      </c>
      <c r="F230" s="14" t="s">
        <v>11</v>
      </c>
      <c r="G230" s="8" t="s">
        <v>24</v>
      </c>
      <c r="H230" s="5" t="str">
        <f>IFERROR(__xludf.DUMMYFUNCTION("REGEXEXTRACT(B230, ""\((\d+)\)"")"),"4")</f>
        <v>4</v>
      </c>
      <c r="I230" s="5"/>
      <c r="J230" s="5"/>
      <c r="K230" s="5"/>
      <c r="L230" s="5"/>
    </row>
    <row r="231" ht="35.25" customHeight="1">
      <c r="A231" s="5">
        <v>230.0</v>
      </c>
      <c r="B231" s="14" t="s">
        <v>486</v>
      </c>
      <c r="C231" s="6" t="str">
        <f>IFERROR(__xludf.DUMMYFUNCTION("REGEXEXTRACT(B231, ""^[A-Z0-9-]+"")"),"CS-603")</f>
        <v>CS-603</v>
      </c>
      <c r="D231" s="14" t="s">
        <v>487</v>
      </c>
      <c r="E231" s="15" t="s">
        <v>10</v>
      </c>
      <c r="F231" s="14" t="s">
        <v>19</v>
      </c>
      <c r="G231" s="8" t="s">
        <v>27</v>
      </c>
      <c r="H231" s="5" t="str">
        <f>IFERROR(__xludf.DUMMYFUNCTION("REGEXEXTRACT(B231, ""\((\d+)\)"")"),"3")</f>
        <v>3</v>
      </c>
      <c r="I231" s="5"/>
      <c r="J231" s="5"/>
      <c r="K231" s="5"/>
      <c r="L231" s="5"/>
    </row>
    <row r="232" ht="35.25" customHeight="1">
      <c r="A232" s="5">
        <v>231.0</v>
      </c>
      <c r="B232" s="14" t="s">
        <v>488</v>
      </c>
      <c r="C232" s="6" t="str">
        <f>IFERROR(__xludf.DUMMYFUNCTION("REGEXEXTRACT(B232, ""^[A-Z0-9-]+"")"),"CS-606")</f>
        <v>CS-606</v>
      </c>
      <c r="D232" s="14" t="s">
        <v>489</v>
      </c>
      <c r="E232" s="15" t="s">
        <v>10</v>
      </c>
      <c r="F232" s="14" t="s">
        <v>19</v>
      </c>
      <c r="G232" s="8" t="s">
        <v>30</v>
      </c>
      <c r="H232" s="5" t="str">
        <f>IFERROR(__xludf.DUMMYFUNCTION("REGEXEXTRACT(B232, ""\((\d+)\)"")"),"3")</f>
        <v>3</v>
      </c>
      <c r="I232" s="5"/>
      <c r="J232" s="5"/>
      <c r="K232" s="5"/>
      <c r="L232" s="5"/>
    </row>
    <row r="233" ht="35.25" customHeight="1">
      <c r="A233" s="5">
        <v>232.0</v>
      </c>
      <c r="B233" s="14" t="s">
        <v>490</v>
      </c>
      <c r="C233" s="6" t="str">
        <f>IFERROR(__xludf.DUMMYFUNCTION("REGEXEXTRACT(B233, ""^[A-Z0-9-]+"")"),"CS-609")</f>
        <v>CS-609</v>
      </c>
      <c r="D233" s="14" t="s">
        <v>491</v>
      </c>
      <c r="E233" s="15" t="s">
        <v>10</v>
      </c>
      <c r="F233" s="14" t="s">
        <v>492</v>
      </c>
      <c r="G233" s="8" t="s">
        <v>33</v>
      </c>
      <c r="H233" s="5" t="str">
        <f>IFERROR(__xludf.DUMMYFUNCTION("REGEXEXTRACT(B233, ""\((\d+)\)"")"),"3")</f>
        <v>3</v>
      </c>
      <c r="I233" s="5"/>
      <c r="J233" s="5"/>
      <c r="K233" s="5"/>
      <c r="L233" s="5"/>
    </row>
    <row r="234" ht="35.25" customHeight="1">
      <c r="A234" s="5">
        <v>233.0</v>
      </c>
      <c r="B234" s="14" t="s">
        <v>493</v>
      </c>
      <c r="C234" s="6" t="str">
        <f>IFERROR(__xludf.DUMMYFUNCTION("REGEXEXTRACT(B234, ""^[A-Z0-9-]+"")"),"CS-609")</f>
        <v>CS-609</v>
      </c>
      <c r="D234" s="14" t="s">
        <v>491</v>
      </c>
      <c r="E234" s="15" t="s">
        <v>10</v>
      </c>
      <c r="F234" s="14" t="s">
        <v>15</v>
      </c>
      <c r="G234" s="8" t="s">
        <v>36</v>
      </c>
      <c r="H234" s="5" t="str">
        <f>IFERROR(__xludf.DUMMYFUNCTION("REGEXEXTRACT(B234, ""\((\d+)\)"")"),"4")</f>
        <v>4</v>
      </c>
      <c r="I234" s="5"/>
      <c r="J234" s="5"/>
      <c r="K234" s="5"/>
      <c r="L234" s="5"/>
    </row>
    <row r="235" ht="35.25" customHeight="1">
      <c r="A235" s="5">
        <v>234.0</v>
      </c>
      <c r="B235" s="14" t="s">
        <v>494</v>
      </c>
      <c r="C235" s="6" t="str">
        <f>IFERROR(__xludf.DUMMYFUNCTION("REGEXEXTRACT(B235, ""^[A-Z0-9-]+"")"),"CS-611")</f>
        <v>CS-611</v>
      </c>
      <c r="D235" s="14" t="s">
        <v>495</v>
      </c>
      <c r="E235" s="15" t="s">
        <v>10</v>
      </c>
      <c r="F235" s="14" t="s">
        <v>11</v>
      </c>
      <c r="G235" s="8" t="s">
        <v>39</v>
      </c>
      <c r="H235" s="5" t="str">
        <f>IFERROR(__xludf.DUMMYFUNCTION("REGEXEXTRACT(B235, ""\((\d+)\)"")"),"4")</f>
        <v>4</v>
      </c>
      <c r="I235" s="5"/>
      <c r="J235" s="5"/>
      <c r="K235" s="5"/>
      <c r="L235" s="5"/>
    </row>
    <row r="236" ht="35.25" customHeight="1">
      <c r="A236" s="5">
        <v>235.0</v>
      </c>
      <c r="B236" s="14" t="s">
        <v>496</v>
      </c>
      <c r="C236" s="6" t="str">
        <f>IFERROR(__xludf.DUMMYFUNCTION("REGEXEXTRACT(B236, ""^[A-Z0-9-]+"")"),"CS-621P")</f>
        <v>CS-621P</v>
      </c>
      <c r="D236" s="14" t="s">
        <v>497</v>
      </c>
      <c r="E236" s="15" t="s">
        <v>87</v>
      </c>
      <c r="F236" s="14">
        <v>12.0</v>
      </c>
      <c r="G236" s="8" t="s">
        <v>12</v>
      </c>
      <c r="H236" s="5" t="str">
        <f>IFERROR(__xludf.DUMMYFUNCTION("REGEXEXTRACT(B236, ""\((\d+)\)"")"),"12")</f>
        <v>12</v>
      </c>
      <c r="I236" s="5"/>
      <c r="J236" s="5"/>
      <c r="K236" s="5"/>
      <c r="L236" s="5"/>
    </row>
    <row r="237" ht="35.25" customHeight="1">
      <c r="A237" s="5">
        <v>236.0</v>
      </c>
      <c r="B237" s="14" t="s">
        <v>498</v>
      </c>
      <c r="C237" s="6" t="str">
        <f>IFERROR(__xludf.DUMMYFUNCTION("REGEXEXTRACT(B237, ""^[A-Z0-9-]+"")"),"CS-622P")</f>
        <v>CS-622P</v>
      </c>
      <c r="D237" s="14" t="s">
        <v>499</v>
      </c>
      <c r="E237" s="15" t="s">
        <v>87</v>
      </c>
      <c r="F237" s="14">
        <v>14.0</v>
      </c>
      <c r="G237" s="8" t="s">
        <v>16</v>
      </c>
      <c r="H237" s="5" t="str">
        <f>IFERROR(__xludf.DUMMYFUNCTION("REGEXEXTRACT(B237, ""\((\d+)\)"")"),"14")</f>
        <v>14</v>
      </c>
      <c r="I237" s="5"/>
      <c r="J237" s="5"/>
      <c r="K237" s="5"/>
      <c r="L237" s="5"/>
    </row>
    <row r="238" ht="35.25" customHeight="1">
      <c r="A238" s="5">
        <v>237.0</v>
      </c>
      <c r="B238" s="14" t="s">
        <v>500</v>
      </c>
      <c r="C238" s="6" t="str">
        <f>IFERROR(__xludf.DUMMYFUNCTION("REGEXEXTRACT(B238, ""^[A-Z0-9-]+"")"),"CS-630")</f>
        <v>CS-630</v>
      </c>
      <c r="D238" s="14" t="s">
        <v>501</v>
      </c>
      <c r="E238" s="15" t="s">
        <v>10</v>
      </c>
      <c r="F238" s="14" t="s">
        <v>15</v>
      </c>
      <c r="G238" s="8" t="s">
        <v>20</v>
      </c>
      <c r="H238" s="5" t="str">
        <f>IFERROR(__xludf.DUMMYFUNCTION("REGEXEXTRACT(B238, ""\((\d+)\)"")"),"3")</f>
        <v>3</v>
      </c>
      <c r="I238" s="5"/>
      <c r="J238" s="5"/>
      <c r="K238" s="5"/>
      <c r="L238" s="5"/>
    </row>
    <row r="239" ht="35.25" customHeight="1">
      <c r="A239" s="5">
        <v>238.0</v>
      </c>
      <c r="B239" s="14" t="s">
        <v>502</v>
      </c>
      <c r="C239" s="6" t="str">
        <f>IFERROR(__xludf.DUMMYFUNCTION("REGEXEXTRACT(B239, ""^[A-Z0-9-]+"")"),"CS-660")</f>
        <v>CS-660</v>
      </c>
      <c r="D239" s="14" t="s">
        <v>503</v>
      </c>
      <c r="E239" s="15" t="s">
        <v>10</v>
      </c>
      <c r="F239" s="14" t="s">
        <v>314</v>
      </c>
      <c r="G239" s="8" t="s">
        <v>24</v>
      </c>
      <c r="H239" s="5" t="str">
        <f>IFERROR(__xludf.DUMMYFUNCTION("REGEXEXTRACT(B239, ""\((\d+)\)"")"),"4")</f>
        <v>4</v>
      </c>
      <c r="I239" s="5"/>
      <c r="J239" s="5"/>
      <c r="K239" s="5"/>
      <c r="L239" s="5"/>
    </row>
    <row r="240" ht="35.25" customHeight="1">
      <c r="A240" s="5">
        <v>239.0</v>
      </c>
      <c r="B240" s="14" t="s">
        <v>504</v>
      </c>
      <c r="C240" s="6" t="str">
        <f>IFERROR(__xludf.DUMMYFUNCTION("REGEXEXTRACT(B240, ""^[A-Z0-9-]+"")"),"CS")</f>
        <v>CS</v>
      </c>
      <c r="D240" s="14" t="s">
        <v>505</v>
      </c>
      <c r="E240" s="15" t="s">
        <v>10</v>
      </c>
      <c r="F240" s="14" t="s">
        <v>19</v>
      </c>
      <c r="G240" s="8" t="s">
        <v>27</v>
      </c>
      <c r="H240" s="5" t="str">
        <f>IFERROR(__xludf.DUMMYFUNCTION("REGEXEXTRACT(B240, ""\((\d+)\)"")"),"3")</f>
        <v>3</v>
      </c>
      <c r="I240" s="5"/>
      <c r="J240" s="5"/>
      <c r="K240" s="5"/>
      <c r="L240" s="5"/>
    </row>
    <row r="241" ht="35.25" customHeight="1">
      <c r="A241" s="5">
        <v>240.0</v>
      </c>
      <c r="B241" s="14" t="s">
        <v>506</v>
      </c>
      <c r="C241" s="6" t="str">
        <f>IFERROR(__xludf.DUMMYFUNCTION("REGEXEXTRACT(B241, ""^[A-Z0-9-]+"")"),"CS-662")</f>
        <v>CS-662</v>
      </c>
      <c r="D241" s="14" t="s">
        <v>507</v>
      </c>
      <c r="E241" s="15" t="s">
        <v>10</v>
      </c>
      <c r="F241" s="14" t="s">
        <v>19</v>
      </c>
      <c r="G241" s="8" t="s">
        <v>30</v>
      </c>
      <c r="H241" s="5" t="str">
        <f>IFERROR(__xludf.DUMMYFUNCTION("REGEXEXTRACT(B241, ""\((\d+)\)"")"),"3")</f>
        <v>3</v>
      </c>
      <c r="I241" s="5"/>
      <c r="J241" s="5"/>
      <c r="K241" s="5"/>
      <c r="L241" s="5"/>
    </row>
    <row r="242" ht="35.25" customHeight="1">
      <c r="A242" s="5">
        <v>241.0</v>
      </c>
      <c r="B242" s="14" t="s">
        <v>508</v>
      </c>
      <c r="C242" s="6" t="str">
        <f>IFERROR(__xludf.DUMMYFUNCTION("REGEXEXTRACT(B242, ""^[A-Z0-9-]+"")"),"CS-669")</f>
        <v>CS-669</v>
      </c>
      <c r="D242" s="14" t="s">
        <v>509</v>
      </c>
      <c r="E242" s="15" t="s">
        <v>10</v>
      </c>
      <c r="F242" s="14" t="s">
        <v>11</v>
      </c>
      <c r="G242" s="8" t="s">
        <v>33</v>
      </c>
      <c r="H242" s="5" t="str">
        <f>IFERROR(__xludf.DUMMYFUNCTION("REGEXEXTRACT(B242, ""\((\d+)\)"")"),"4")</f>
        <v>4</v>
      </c>
      <c r="I242" s="5"/>
      <c r="J242" s="5"/>
      <c r="K242" s="5"/>
      <c r="L242" s="5"/>
    </row>
    <row r="243" ht="35.25" customHeight="1">
      <c r="A243" s="5">
        <v>242.0</v>
      </c>
      <c r="B243" s="14" t="s">
        <v>510</v>
      </c>
      <c r="C243" s="6" t="str">
        <f>IFERROR(__xludf.DUMMYFUNCTION("REGEXEXTRACT(B243, ""^[A-Z0-9-]+"")"),"CS")</f>
        <v>CS</v>
      </c>
      <c r="D243" s="14" t="s">
        <v>511</v>
      </c>
      <c r="E243" s="15" t="s">
        <v>10</v>
      </c>
      <c r="F243" s="14" t="s">
        <v>11</v>
      </c>
      <c r="G243" s="8" t="s">
        <v>36</v>
      </c>
      <c r="H243" s="5" t="str">
        <f>IFERROR(__xludf.DUMMYFUNCTION("REGEXEXTRACT(B243, ""\((\d+)\)"")"),"4")</f>
        <v>4</v>
      </c>
      <c r="I243" s="5"/>
      <c r="J243" s="5"/>
      <c r="K243" s="5"/>
      <c r="L243" s="5"/>
    </row>
    <row r="244" ht="35.25" customHeight="1">
      <c r="A244" s="5">
        <v>243.0</v>
      </c>
      <c r="B244" s="14" t="s">
        <v>512</v>
      </c>
      <c r="C244" s="6" t="str">
        <f>IFERROR(__xludf.DUMMYFUNCTION("REGEXEXTRACT(B244, ""^[A-Z0-9-]+"")"),"CS-672")</f>
        <v>CS-672</v>
      </c>
      <c r="D244" s="14" t="s">
        <v>513</v>
      </c>
      <c r="E244" s="15" t="s">
        <v>10</v>
      </c>
      <c r="F244" s="14" t="s">
        <v>15</v>
      </c>
      <c r="G244" s="8" t="s">
        <v>39</v>
      </c>
      <c r="H244" s="5" t="str">
        <f>IFERROR(__xludf.DUMMYFUNCTION("REGEXEXTRACT(B244, ""\((\d+)\)"")"),"4")</f>
        <v>4</v>
      </c>
      <c r="I244" s="5"/>
      <c r="J244" s="5"/>
      <c r="K244" s="5"/>
      <c r="L244" s="5"/>
    </row>
    <row r="245" ht="35.25" customHeight="1">
      <c r="A245" s="5">
        <v>244.0</v>
      </c>
      <c r="B245" s="22" t="s">
        <v>514</v>
      </c>
      <c r="C245" s="6" t="str">
        <f>IFERROR(__xludf.DUMMYFUNCTION("REGEXEXTRACT(B245, ""^[A-Z0-9-]+"")"),"CS-673")</f>
        <v>CS-673</v>
      </c>
      <c r="D245" s="22" t="s">
        <v>515</v>
      </c>
      <c r="E245" s="23" t="s">
        <v>10</v>
      </c>
      <c r="F245" s="22" t="s">
        <v>15</v>
      </c>
      <c r="G245" s="8" t="s">
        <v>12</v>
      </c>
      <c r="H245" s="5" t="str">
        <f>IFERROR(__xludf.DUMMYFUNCTION("REGEXEXTRACT(B245, ""\((\d+)\)"")"),"4")</f>
        <v>4</v>
      </c>
      <c r="I245" s="5"/>
      <c r="J245" s="5"/>
      <c r="K245" s="5"/>
      <c r="L245" s="5"/>
    </row>
    <row r="246" ht="35.25" customHeight="1">
      <c r="A246" s="5">
        <v>245.0</v>
      </c>
      <c r="B246" s="14" t="s">
        <v>516</v>
      </c>
      <c r="C246" s="6" t="str">
        <f>IFERROR(__xludf.DUMMYFUNCTION("REGEXEXTRACT(B246, ""^[A-Z0-9-]+"")"),"CS-677")</f>
        <v>CS-677</v>
      </c>
      <c r="D246" s="14" t="s">
        <v>517</v>
      </c>
      <c r="E246" s="15" t="s">
        <v>10</v>
      </c>
      <c r="F246" s="14" t="s">
        <v>518</v>
      </c>
      <c r="G246" s="8" t="s">
        <v>16</v>
      </c>
      <c r="H246" s="5" t="str">
        <f>IFERROR(__xludf.DUMMYFUNCTION("REGEXEXTRACT(B246, ""\((\d+)\)"")"),"3")</f>
        <v>3</v>
      </c>
      <c r="I246" s="5"/>
      <c r="J246" s="5"/>
      <c r="K246" s="5"/>
      <c r="L246" s="5"/>
    </row>
    <row r="247" ht="35.25" customHeight="1">
      <c r="A247" s="5">
        <v>246.0</v>
      </c>
      <c r="B247" s="22" t="s">
        <v>519</v>
      </c>
      <c r="C247" s="6" t="str">
        <f>IFERROR(__xludf.DUMMYFUNCTION("REGEXEXTRACT(B247, ""^[A-Z0-9-]+"")"),"CS-683")</f>
        <v>CS-683</v>
      </c>
      <c r="D247" s="22" t="s">
        <v>520</v>
      </c>
      <c r="E247" s="23" t="s">
        <v>10</v>
      </c>
      <c r="F247" s="22" t="s">
        <v>314</v>
      </c>
      <c r="G247" s="8" t="s">
        <v>20</v>
      </c>
      <c r="H247" s="5" t="str">
        <f>IFERROR(__xludf.DUMMYFUNCTION("REGEXEXTRACT(B247, ""\((\d+)\)"")"),"4")</f>
        <v>4</v>
      </c>
      <c r="I247" s="5"/>
      <c r="J247" s="5"/>
      <c r="K247" s="5"/>
      <c r="L247" s="5"/>
    </row>
    <row r="248" ht="35.25" customHeight="1">
      <c r="A248" s="5">
        <v>247.0</v>
      </c>
      <c r="B248" s="22" t="s">
        <v>521</v>
      </c>
      <c r="C248" s="6" t="str">
        <f>IFERROR(__xludf.DUMMYFUNCTION("REGEXEXTRACT(B248, ""^[A-Z0-9-]+"")"),"CS-685")</f>
        <v>CS-685</v>
      </c>
      <c r="D248" s="22" t="s">
        <v>522</v>
      </c>
      <c r="E248" s="23" t="s">
        <v>10</v>
      </c>
      <c r="F248" s="22" t="s">
        <v>19</v>
      </c>
      <c r="G248" s="8" t="s">
        <v>24</v>
      </c>
      <c r="H248" s="5" t="str">
        <f>IFERROR(__xludf.DUMMYFUNCTION("REGEXEXTRACT(B248, ""\((\d+)\)"")"),"3")</f>
        <v>3</v>
      </c>
      <c r="I248" s="5"/>
      <c r="J248" s="5"/>
      <c r="K248" s="5"/>
      <c r="L248" s="5"/>
    </row>
    <row r="249" ht="35.25" customHeight="1">
      <c r="A249" s="5">
        <v>248.0</v>
      </c>
      <c r="B249" s="22" t="s">
        <v>523</v>
      </c>
      <c r="C249" s="6" t="str">
        <f>IFERROR(__xludf.DUMMYFUNCTION("REGEXEXTRACT(B249, ""^[A-Z0-9-]+"")"),"CS-686")</f>
        <v>CS-686</v>
      </c>
      <c r="D249" s="22" t="s">
        <v>524</v>
      </c>
      <c r="E249" s="23" t="s">
        <v>10</v>
      </c>
      <c r="F249" s="22" t="s">
        <v>15</v>
      </c>
      <c r="G249" s="8" t="s">
        <v>27</v>
      </c>
      <c r="H249" s="5" t="str">
        <f>IFERROR(__xludf.DUMMYFUNCTION("REGEXEXTRACT(B249, ""\((\d+)\)"")"),"4")</f>
        <v>4</v>
      </c>
      <c r="I249" s="5"/>
      <c r="J249" s="5"/>
      <c r="K249" s="5"/>
      <c r="L249" s="5"/>
    </row>
    <row r="250" ht="35.25" customHeight="1">
      <c r="A250" s="5">
        <v>249.0</v>
      </c>
      <c r="B250" s="14" t="s">
        <v>525</v>
      </c>
      <c r="C250" s="6" t="str">
        <f>IFERROR(__xludf.DUMMYFUNCTION("REGEXEXTRACT(B250, ""^[A-Z0-9-]+"")"),"CS-693")</f>
        <v>CS-693</v>
      </c>
      <c r="D250" s="14" t="s">
        <v>526</v>
      </c>
      <c r="E250" s="23" t="s">
        <v>10</v>
      </c>
      <c r="F250" s="14" t="s">
        <v>19</v>
      </c>
      <c r="G250" s="8" t="s">
        <v>30</v>
      </c>
      <c r="H250" s="5" t="str">
        <f>IFERROR(__xludf.DUMMYFUNCTION("REGEXEXTRACT(B250, ""\((\d+)\)"")"),"3")</f>
        <v>3</v>
      </c>
      <c r="I250" s="5"/>
      <c r="J250" s="5"/>
      <c r="K250" s="5"/>
      <c r="L250" s="5"/>
    </row>
    <row r="251" ht="35.25" customHeight="1">
      <c r="A251" s="5">
        <v>250.0</v>
      </c>
      <c r="B251" s="14" t="s">
        <v>527</v>
      </c>
      <c r="C251" s="6" t="str">
        <f>IFERROR(__xludf.DUMMYFUNCTION("REGEXEXTRACT(B251, ""^[A-Z0-9-]+"")"),"CY-241")</f>
        <v>CY-241</v>
      </c>
      <c r="D251" s="14" t="s">
        <v>528</v>
      </c>
      <c r="E251" s="15" t="s">
        <v>10</v>
      </c>
      <c r="F251" s="14" t="s">
        <v>19</v>
      </c>
      <c r="G251" s="8" t="s">
        <v>33</v>
      </c>
      <c r="H251" s="5" t="str">
        <f>IFERROR(__xludf.DUMMYFUNCTION("REGEXEXTRACT(B251, ""\((\d+)\)"")"),"3")</f>
        <v>3</v>
      </c>
      <c r="I251" s="5"/>
      <c r="J251" s="5"/>
      <c r="K251" s="5"/>
      <c r="L251" s="5"/>
    </row>
    <row r="252" ht="35.25" customHeight="1">
      <c r="A252" s="5">
        <v>251.0</v>
      </c>
      <c r="B252" s="14" t="s">
        <v>529</v>
      </c>
      <c r="C252" s="6" t="str">
        <f>IFERROR(__xludf.DUMMYFUNCTION("REGEXEXTRACT(B252, ""^[A-Z0-9-]+"")"),"CY-242")</f>
        <v>CY-242</v>
      </c>
      <c r="D252" s="14" t="s">
        <v>530</v>
      </c>
      <c r="E252" s="15" t="s">
        <v>10</v>
      </c>
      <c r="F252" s="14" t="s">
        <v>19</v>
      </c>
      <c r="G252" s="8" t="s">
        <v>36</v>
      </c>
      <c r="H252" s="5" t="str">
        <f>IFERROR(__xludf.DUMMYFUNCTION("REGEXEXTRACT(B252, ""\((\d+)\)"")"),"3")</f>
        <v>3</v>
      </c>
      <c r="I252" s="5"/>
      <c r="J252" s="5"/>
      <c r="K252" s="5"/>
      <c r="L252" s="5"/>
    </row>
    <row r="253" ht="35.25" customHeight="1">
      <c r="A253" s="5">
        <v>252.0</v>
      </c>
      <c r="B253" s="14" t="s">
        <v>531</v>
      </c>
      <c r="C253" s="6" t="str">
        <f>IFERROR(__xludf.DUMMYFUNCTION("REGEXEXTRACT(B253, ""^[A-Z0-9-]+"")"),"CY-243")</f>
        <v>CY-243</v>
      </c>
      <c r="D253" s="14" t="s">
        <v>532</v>
      </c>
      <c r="E253" s="15" t="s">
        <v>10</v>
      </c>
      <c r="F253" s="14" t="s">
        <v>19</v>
      </c>
      <c r="G253" s="8" t="s">
        <v>39</v>
      </c>
      <c r="H253" s="5" t="str">
        <f>IFERROR(__xludf.DUMMYFUNCTION("REGEXEXTRACT(B253, ""\((\d+)\)"")"),"3")</f>
        <v>3</v>
      </c>
      <c r="I253" s="5"/>
      <c r="J253" s="5"/>
      <c r="K253" s="5"/>
      <c r="L253" s="5"/>
    </row>
    <row r="254" ht="35.25" customHeight="1">
      <c r="A254" s="5">
        <v>253.0</v>
      </c>
      <c r="B254" s="14" t="s">
        <v>533</v>
      </c>
      <c r="C254" s="6" t="str">
        <f>IFERROR(__xludf.DUMMYFUNCTION("REGEXEXTRACT(B254, ""^[A-Z0-9-]+"")"),"CY-247")</f>
        <v>CY-247</v>
      </c>
      <c r="D254" s="14" t="s">
        <v>534</v>
      </c>
      <c r="E254" s="15" t="s">
        <v>10</v>
      </c>
      <c r="F254" s="14" t="s">
        <v>19</v>
      </c>
      <c r="G254" s="8" t="s">
        <v>12</v>
      </c>
      <c r="H254" s="5" t="str">
        <f>IFERROR(__xludf.DUMMYFUNCTION("REGEXEXTRACT(B254, ""\((\d+)\)"")"),"3")</f>
        <v>3</v>
      </c>
      <c r="I254" s="5"/>
      <c r="J254" s="5"/>
      <c r="K254" s="5"/>
      <c r="L254" s="5"/>
    </row>
    <row r="255" ht="35.25" customHeight="1">
      <c r="A255" s="5">
        <v>254.0</v>
      </c>
      <c r="B255" s="14" t="s">
        <v>535</v>
      </c>
      <c r="C255" s="6" t="str">
        <f>IFERROR(__xludf.DUMMYFUNCTION("REGEXEXTRACT(B255, ""^[A-Z0-9-]+"")"),"CY-248")</f>
        <v>CY-248</v>
      </c>
      <c r="D255" s="14" t="s">
        <v>536</v>
      </c>
      <c r="E255" s="15" t="s">
        <v>10</v>
      </c>
      <c r="F255" s="14" t="s">
        <v>19</v>
      </c>
      <c r="G255" s="8" t="s">
        <v>16</v>
      </c>
      <c r="H255" s="5" t="str">
        <f>IFERROR(__xludf.DUMMYFUNCTION("REGEXEXTRACT(B255, ""\((\d+)\)"")"),"3")</f>
        <v>3</v>
      </c>
      <c r="I255" s="5"/>
      <c r="J255" s="5"/>
      <c r="K255" s="5"/>
      <c r="L255" s="5"/>
    </row>
    <row r="256" ht="35.25" customHeight="1">
      <c r="A256" s="5">
        <v>255.0</v>
      </c>
      <c r="B256" s="24" t="s">
        <v>537</v>
      </c>
      <c r="C256" s="6" t="str">
        <f>IFERROR(__xludf.DUMMYFUNCTION("REGEXEXTRACT(B256, ""^[A-Z0-9-]+"")"),"CY-301")</f>
        <v>CY-301</v>
      </c>
      <c r="D256" s="6" t="s">
        <v>538</v>
      </c>
      <c r="E256" s="15" t="s">
        <v>10</v>
      </c>
      <c r="F256" s="24" t="s">
        <v>19</v>
      </c>
      <c r="G256" s="8" t="s">
        <v>20</v>
      </c>
      <c r="H256" s="5" t="str">
        <f>IFERROR(__xludf.DUMMYFUNCTION("REGEXEXTRACT(B256, ""\((\d+)\)"")"),"3")</f>
        <v>3</v>
      </c>
      <c r="I256" s="24"/>
      <c r="J256" s="24"/>
      <c r="K256" s="24"/>
      <c r="L256" s="24"/>
    </row>
    <row r="257" ht="35.25" customHeight="1">
      <c r="A257" s="5">
        <v>256.0</v>
      </c>
      <c r="B257" s="24" t="s">
        <v>539</v>
      </c>
      <c r="C257" s="6" t="str">
        <f>IFERROR(__xludf.DUMMYFUNCTION("REGEXEXTRACT(B257, ""^[A-Z0-9-]+"")"),"CY-302")</f>
        <v>CY-302</v>
      </c>
      <c r="D257" s="6" t="s">
        <v>540</v>
      </c>
      <c r="E257" s="15" t="s">
        <v>10</v>
      </c>
      <c r="F257" s="24" t="s">
        <v>19</v>
      </c>
      <c r="G257" s="8" t="s">
        <v>24</v>
      </c>
      <c r="H257" s="5" t="str">
        <f>IFERROR(__xludf.DUMMYFUNCTION("REGEXEXTRACT(B257, ""\((\d+)\)"")"),"3")</f>
        <v>3</v>
      </c>
      <c r="I257" s="24"/>
      <c r="J257" s="24"/>
      <c r="K257" s="24"/>
      <c r="L257" s="24"/>
    </row>
    <row r="258" ht="35.25" customHeight="1">
      <c r="A258" s="5">
        <v>257.0</v>
      </c>
      <c r="B258" s="24" t="s">
        <v>541</v>
      </c>
      <c r="C258" s="6" t="str">
        <f>IFERROR(__xludf.DUMMYFUNCTION("REGEXEXTRACT(B258, ""^[A-Z0-9-]+"")"),"CY-303")</f>
        <v>CY-303</v>
      </c>
      <c r="D258" s="6" t="s">
        <v>542</v>
      </c>
      <c r="E258" s="15" t="s">
        <v>10</v>
      </c>
      <c r="F258" s="24" t="s">
        <v>19</v>
      </c>
      <c r="G258" s="8" t="s">
        <v>27</v>
      </c>
      <c r="H258" s="5" t="str">
        <f>IFERROR(__xludf.DUMMYFUNCTION("REGEXEXTRACT(B258, ""\((\d+)\)"")"),"3")</f>
        <v>3</v>
      </c>
      <c r="I258" s="24"/>
      <c r="J258" s="24"/>
      <c r="K258" s="24"/>
      <c r="L258" s="24"/>
    </row>
    <row r="259" ht="35.25" customHeight="1">
      <c r="A259" s="5">
        <v>258.0</v>
      </c>
      <c r="B259" s="24" t="s">
        <v>543</v>
      </c>
      <c r="C259" s="6" t="str">
        <f>IFERROR(__xludf.DUMMYFUNCTION("REGEXEXTRACT(B259, ""^[A-Z0-9-]+"")"),"CY-304")</f>
        <v>CY-304</v>
      </c>
      <c r="D259" s="6" t="s">
        <v>544</v>
      </c>
      <c r="E259" s="15" t="s">
        <v>10</v>
      </c>
      <c r="F259" s="24" t="s">
        <v>19</v>
      </c>
      <c r="G259" s="8" t="s">
        <v>30</v>
      </c>
      <c r="H259" s="5" t="str">
        <f>IFERROR(__xludf.DUMMYFUNCTION("REGEXEXTRACT(B259, ""\((\d+)\)"")"),"3")</f>
        <v>3</v>
      </c>
      <c r="I259" s="24"/>
      <c r="J259" s="24"/>
      <c r="K259" s="24"/>
      <c r="L259" s="24"/>
    </row>
    <row r="260" ht="35.25" customHeight="1">
      <c r="A260" s="5">
        <v>259.0</v>
      </c>
      <c r="B260" s="14" t="s">
        <v>545</v>
      </c>
      <c r="C260" s="6" t="str">
        <f>IFERROR(__xludf.DUMMYFUNCTION("REGEXEXTRACT(B260, ""^[A-Z0-9-]+"")"),"CY-342")</f>
        <v>CY-342</v>
      </c>
      <c r="D260" s="14" t="s">
        <v>546</v>
      </c>
      <c r="E260" s="15" t="s">
        <v>10</v>
      </c>
      <c r="F260" s="24" t="s">
        <v>19</v>
      </c>
      <c r="G260" s="8" t="s">
        <v>33</v>
      </c>
      <c r="H260" s="5" t="str">
        <f>IFERROR(__xludf.DUMMYFUNCTION("REGEXEXTRACT(B260, ""\((\d+)\)"")"),"3")</f>
        <v>3</v>
      </c>
      <c r="I260" s="5"/>
      <c r="J260" s="5"/>
      <c r="K260" s="5"/>
      <c r="L260" s="5"/>
    </row>
    <row r="261" ht="35.25" customHeight="1">
      <c r="A261" s="5">
        <v>260.0</v>
      </c>
      <c r="B261" s="14" t="s">
        <v>547</v>
      </c>
      <c r="C261" s="6" t="str">
        <f>IFERROR(__xludf.DUMMYFUNCTION("REGEXEXTRACT(B261, ""^[A-Z0-9-]+"")"),"CY-344")</f>
        <v>CY-344</v>
      </c>
      <c r="D261" s="14" t="s">
        <v>548</v>
      </c>
      <c r="E261" s="15" t="s">
        <v>10</v>
      </c>
      <c r="F261" s="24" t="s">
        <v>19</v>
      </c>
      <c r="G261" s="8" t="s">
        <v>36</v>
      </c>
      <c r="H261" s="5" t="str">
        <f>IFERROR(__xludf.DUMMYFUNCTION("REGEXEXTRACT(B261, ""\((\d+)\)"")"),"3")</f>
        <v>3</v>
      </c>
      <c r="I261" s="5"/>
      <c r="J261" s="5"/>
      <c r="K261" s="5"/>
      <c r="L261" s="5"/>
    </row>
    <row r="262" ht="35.25" customHeight="1">
      <c r="A262" s="5">
        <v>261.0</v>
      </c>
      <c r="B262" s="24" t="s">
        <v>549</v>
      </c>
      <c r="C262" s="6" t="str">
        <f>IFERROR(__xludf.DUMMYFUNCTION("REGEXEXTRACT(B262, ""^[A-Z0-9-]+"")"),"CY-401")</f>
        <v>CY-401</v>
      </c>
      <c r="D262" s="6" t="s">
        <v>550</v>
      </c>
      <c r="E262" s="15" t="s">
        <v>10</v>
      </c>
      <c r="F262" s="24" t="s">
        <v>19</v>
      </c>
      <c r="G262" s="8" t="s">
        <v>39</v>
      </c>
      <c r="H262" s="5" t="str">
        <f>IFERROR(__xludf.DUMMYFUNCTION("REGEXEXTRACT(B262, ""\((\d+)\)"")"),"3")</f>
        <v>3</v>
      </c>
      <c r="I262" s="24"/>
      <c r="J262" s="24"/>
      <c r="K262" s="24"/>
      <c r="L262" s="24"/>
    </row>
    <row r="263" ht="35.25" customHeight="1">
      <c r="A263" s="5">
        <v>262.0</v>
      </c>
      <c r="B263" s="24" t="s">
        <v>551</v>
      </c>
      <c r="C263" s="6" t="str">
        <f>IFERROR(__xludf.DUMMYFUNCTION("REGEXEXTRACT(B263, ""^[A-Z0-9-]+"")"),"CY-402")</f>
        <v>CY-402</v>
      </c>
      <c r="D263" s="6" t="s">
        <v>552</v>
      </c>
      <c r="E263" s="15" t="s">
        <v>10</v>
      </c>
      <c r="F263" s="26" t="s">
        <v>19</v>
      </c>
      <c r="G263" s="8" t="s">
        <v>12</v>
      </c>
      <c r="H263" s="5" t="str">
        <f>IFERROR(__xludf.DUMMYFUNCTION("REGEXEXTRACT(B263, ""\((\d+)\)"")"),"3")</f>
        <v>3</v>
      </c>
      <c r="I263" s="24"/>
      <c r="J263" s="24"/>
      <c r="K263" s="24"/>
      <c r="L263" s="24"/>
    </row>
    <row r="264" ht="35.25" customHeight="1">
      <c r="A264" s="5">
        <v>263.0</v>
      </c>
      <c r="B264" s="24" t="s">
        <v>553</v>
      </c>
      <c r="C264" s="6" t="str">
        <f>IFERROR(__xludf.DUMMYFUNCTION("REGEXEXTRACT(B264, ""^[A-Z0-9-]+"")"),"CY-403")</f>
        <v>CY-403</v>
      </c>
      <c r="D264" s="6" t="s">
        <v>554</v>
      </c>
      <c r="E264" s="15" t="s">
        <v>10</v>
      </c>
      <c r="F264" s="26" t="s">
        <v>19</v>
      </c>
      <c r="G264" s="8" t="s">
        <v>16</v>
      </c>
      <c r="H264" s="5" t="str">
        <f>IFERROR(__xludf.DUMMYFUNCTION("REGEXEXTRACT(B264, ""\((\d+)\)"")"),"3")</f>
        <v>3</v>
      </c>
      <c r="I264" s="24"/>
      <c r="J264" s="24"/>
      <c r="K264" s="24"/>
      <c r="L264" s="24"/>
    </row>
    <row r="265" ht="35.25" customHeight="1">
      <c r="A265" s="5">
        <v>264.0</v>
      </c>
      <c r="B265" s="22" t="s">
        <v>555</v>
      </c>
      <c r="C265" s="6" t="str">
        <f>IFERROR(__xludf.DUMMYFUNCTION("REGEXEXTRACT(B265, ""^[A-Z0-9-]+"")"),"CY-404")</f>
        <v>CY-404</v>
      </c>
      <c r="D265" s="22" t="s">
        <v>556</v>
      </c>
      <c r="E265" s="15" t="s">
        <v>10</v>
      </c>
      <c r="F265" s="22" t="s">
        <v>19</v>
      </c>
      <c r="G265" s="8" t="s">
        <v>20</v>
      </c>
      <c r="H265" s="5" t="str">
        <f>IFERROR(__xludf.DUMMYFUNCTION("REGEXEXTRACT(B265, ""\((\d+)\)"")"),"3")</f>
        <v>3</v>
      </c>
      <c r="I265" s="5"/>
      <c r="J265" s="5"/>
      <c r="K265" s="5"/>
      <c r="L265" s="5"/>
    </row>
    <row r="266" ht="35.25" customHeight="1">
      <c r="A266" s="5">
        <v>265.0</v>
      </c>
      <c r="B266" s="14" t="s">
        <v>557</v>
      </c>
      <c r="C266" s="6" t="str">
        <f>IFERROR(__xludf.DUMMYFUNCTION("REGEXEXTRACT(B266, ""^[A-Z0-9-]+"")"),"CY-501")</f>
        <v>CY-501</v>
      </c>
      <c r="D266" s="14" t="s">
        <v>558</v>
      </c>
      <c r="E266" s="15" t="s">
        <v>10</v>
      </c>
      <c r="F266" s="14" t="s">
        <v>11</v>
      </c>
      <c r="G266" s="8" t="s">
        <v>24</v>
      </c>
      <c r="H266" s="5" t="str">
        <f>IFERROR(__xludf.DUMMYFUNCTION("REGEXEXTRACT(B266, ""\((\d+)\)"")"),"4")</f>
        <v>4</v>
      </c>
      <c r="I266" s="5"/>
      <c r="J266" s="5"/>
      <c r="K266" s="5"/>
      <c r="L266" s="5"/>
    </row>
    <row r="267" ht="35.25" customHeight="1">
      <c r="A267" s="5">
        <v>266.0</v>
      </c>
      <c r="B267" s="14" t="s">
        <v>559</v>
      </c>
      <c r="C267" s="6" t="str">
        <f>IFERROR(__xludf.DUMMYFUNCTION("REGEXEXTRACT(B267, ""^[A-Z0-9-]+"")"),"CY-501P")</f>
        <v>CY-501P</v>
      </c>
      <c r="D267" s="14" t="s">
        <v>560</v>
      </c>
      <c r="E267" s="15" t="s">
        <v>10</v>
      </c>
      <c r="F267" s="14" t="s">
        <v>435</v>
      </c>
      <c r="G267" s="8" t="s">
        <v>27</v>
      </c>
      <c r="H267" s="5" t="str">
        <f>IFERROR(__xludf.DUMMYFUNCTION("REGEXEXTRACT(B267, ""\((\d+)\)"")"),"4")</f>
        <v>4</v>
      </c>
      <c r="I267" s="5"/>
      <c r="J267" s="5"/>
      <c r="K267" s="5"/>
      <c r="L267" s="5"/>
    </row>
    <row r="268" ht="35.25" customHeight="1">
      <c r="A268" s="5">
        <v>267.0</v>
      </c>
      <c r="B268" s="14" t="s">
        <v>561</v>
      </c>
      <c r="C268" s="6" t="str">
        <f>IFERROR(__xludf.DUMMYFUNCTION("REGEXEXTRACT(B268, ""^[A-Z0-9-]+"")"),"CY-502")</f>
        <v>CY-502</v>
      </c>
      <c r="D268" s="14" t="s">
        <v>562</v>
      </c>
      <c r="E268" s="15" t="s">
        <v>10</v>
      </c>
      <c r="F268" s="14" t="s">
        <v>11</v>
      </c>
      <c r="G268" s="8" t="s">
        <v>30</v>
      </c>
      <c r="H268" s="5" t="str">
        <f>IFERROR(__xludf.DUMMYFUNCTION("REGEXEXTRACT(B268, ""\((\d+)\)"")"),"4")</f>
        <v>4</v>
      </c>
      <c r="I268" s="5"/>
      <c r="J268" s="5"/>
      <c r="K268" s="5"/>
      <c r="L268" s="5"/>
    </row>
    <row r="269" ht="35.25" customHeight="1">
      <c r="A269" s="5">
        <v>268.0</v>
      </c>
      <c r="B269" s="14" t="s">
        <v>563</v>
      </c>
      <c r="C269" s="6" t="str">
        <f>IFERROR(__xludf.DUMMYFUNCTION("REGEXEXTRACT(B269, ""^[A-Z0-9-]+"")"),"CY-504")</f>
        <v>CY-504</v>
      </c>
      <c r="D269" s="14" t="s">
        <v>564</v>
      </c>
      <c r="E269" s="15" t="s">
        <v>10</v>
      </c>
      <c r="F269" s="14" t="s">
        <v>60</v>
      </c>
      <c r="G269" s="8" t="s">
        <v>33</v>
      </c>
      <c r="H269" s="5" t="str">
        <f>IFERROR(__xludf.DUMMYFUNCTION("REGEXEXTRACT(B269, ""\((\d+)\)"")"),"2")</f>
        <v>2</v>
      </c>
      <c r="I269" s="5"/>
      <c r="J269" s="5"/>
      <c r="K269" s="5"/>
      <c r="L269" s="5"/>
    </row>
    <row r="270" ht="35.25" customHeight="1">
      <c r="A270" s="5">
        <v>269.0</v>
      </c>
      <c r="B270" s="14" t="s">
        <v>565</v>
      </c>
      <c r="C270" s="6" t="str">
        <f>IFERROR(__xludf.DUMMYFUNCTION("REGEXEXTRACT(B270, ""^[A-Z0-9-]+"")"),"CY-506")</f>
        <v>CY-506</v>
      </c>
      <c r="D270" s="14" t="s">
        <v>566</v>
      </c>
      <c r="E270" s="15" t="s">
        <v>10</v>
      </c>
      <c r="F270" s="14">
        <v>4.0</v>
      </c>
      <c r="G270" s="8" t="s">
        <v>36</v>
      </c>
      <c r="H270" s="5" t="str">
        <f>IFERROR(__xludf.DUMMYFUNCTION("REGEXEXTRACT(B270, ""\((\d+)\)"")"),"4")</f>
        <v>4</v>
      </c>
      <c r="I270" s="5"/>
      <c r="J270" s="5"/>
      <c r="K270" s="5"/>
      <c r="L270" s="5"/>
    </row>
    <row r="271" ht="35.25" customHeight="1">
      <c r="A271" s="5">
        <v>270.0</v>
      </c>
      <c r="B271" s="14" t="s">
        <v>567</v>
      </c>
      <c r="C271" s="6" t="str">
        <f>IFERROR(__xludf.DUMMYFUNCTION("REGEXEXTRACT(B271, ""^[A-Z0-9-]+"")"),"CY-506P")</f>
        <v>CY-506P</v>
      </c>
      <c r="D271" s="14" t="s">
        <v>568</v>
      </c>
      <c r="E271" s="15" t="s">
        <v>10</v>
      </c>
      <c r="F271" s="14">
        <v>4.0</v>
      </c>
      <c r="G271" s="8" t="s">
        <v>39</v>
      </c>
      <c r="H271" s="5" t="str">
        <f>IFERROR(__xludf.DUMMYFUNCTION("REGEXEXTRACT(B271, ""\((\d+)\)"")"),"4")</f>
        <v>4</v>
      </c>
      <c r="I271" s="5"/>
      <c r="J271" s="5"/>
      <c r="K271" s="5"/>
      <c r="L271" s="5"/>
    </row>
    <row r="272" ht="35.25" customHeight="1">
      <c r="A272" s="5">
        <v>271.0</v>
      </c>
      <c r="B272" s="14" t="s">
        <v>569</v>
      </c>
      <c r="C272" s="6" t="str">
        <f>IFERROR(__xludf.DUMMYFUNCTION("REGEXEXTRACT(B272, ""^[A-Z0-9-]+"")"),"CY-507")</f>
        <v>CY-507</v>
      </c>
      <c r="D272" s="14" t="s">
        <v>570</v>
      </c>
      <c r="E272" s="15" t="s">
        <v>10</v>
      </c>
      <c r="F272" s="14" t="s">
        <v>11</v>
      </c>
      <c r="G272" s="8" t="s">
        <v>12</v>
      </c>
      <c r="H272" s="5" t="str">
        <f>IFERROR(__xludf.DUMMYFUNCTION("REGEXEXTRACT(B272, ""\((\d+)\)"")"),"4")</f>
        <v>4</v>
      </c>
      <c r="I272" s="5"/>
      <c r="J272" s="5"/>
      <c r="K272" s="5"/>
      <c r="L272" s="5"/>
    </row>
    <row r="273" ht="35.25" customHeight="1">
      <c r="A273" s="5">
        <v>272.0</v>
      </c>
      <c r="B273" s="14" t="s">
        <v>571</v>
      </c>
      <c r="C273" s="6" t="str">
        <f>IFERROR(__xludf.DUMMYFUNCTION("REGEXEXTRACT(B273, ""^[A-Z0-9-]+"")"),"CY-508")</f>
        <v>CY-508</v>
      </c>
      <c r="D273" s="14" t="s">
        <v>572</v>
      </c>
      <c r="E273" s="15" t="s">
        <v>10</v>
      </c>
      <c r="F273" s="14" t="s">
        <v>60</v>
      </c>
      <c r="G273" s="8" t="s">
        <v>16</v>
      </c>
      <c r="H273" s="5" t="str">
        <f>IFERROR(__xludf.DUMMYFUNCTION("REGEXEXTRACT(B273, ""\((\d+)\)"")"),"2")</f>
        <v>2</v>
      </c>
      <c r="I273" s="5"/>
      <c r="J273" s="5"/>
      <c r="K273" s="5"/>
      <c r="L273" s="5"/>
    </row>
    <row r="274" ht="35.25" customHeight="1">
      <c r="A274" s="5">
        <v>273.0</v>
      </c>
      <c r="B274" s="14" t="s">
        <v>573</v>
      </c>
      <c r="C274" s="6" t="str">
        <f>IFERROR(__xludf.DUMMYFUNCTION("REGEXEXTRACT(B274, ""^[A-Z0-9-]+"")"),"CY-511")</f>
        <v>CY-511</v>
      </c>
      <c r="D274" s="14" t="s">
        <v>574</v>
      </c>
      <c r="E274" s="15" t="s">
        <v>10</v>
      </c>
      <c r="F274" s="26" t="s">
        <v>19</v>
      </c>
      <c r="G274" s="8" t="s">
        <v>20</v>
      </c>
      <c r="H274" s="5" t="str">
        <f>IFERROR(__xludf.DUMMYFUNCTION("REGEXEXTRACT(B274, ""\((\d+)\)"")"),"3")</f>
        <v>3</v>
      </c>
      <c r="I274" s="5"/>
      <c r="J274" s="5"/>
      <c r="K274" s="5"/>
      <c r="L274" s="5"/>
    </row>
    <row r="275" ht="35.25" customHeight="1">
      <c r="A275" s="5">
        <v>274.0</v>
      </c>
      <c r="B275" s="14" t="s">
        <v>575</v>
      </c>
      <c r="C275" s="6" t="str">
        <f>IFERROR(__xludf.DUMMYFUNCTION("REGEXEXTRACT(B275, ""^[A-Z0-9-]+"")"),"CY-511P")</f>
        <v>CY-511P</v>
      </c>
      <c r="D275" s="14" t="s">
        <v>576</v>
      </c>
      <c r="E275" s="15" t="s">
        <v>10</v>
      </c>
      <c r="F275" s="14" t="s">
        <v>92</v>
      </c>
      <c r="G275" s="8" t="s">
        <v>24</v>
      </c>
      <c r="H275" s="5" t="str">
        <f>IFERROR(__xludf.DUMMYFUNCTION("REGEXEXTRACT(B275, ""\((\d+)\)"")"),"4")</f>
        <v>4</v>
      </c>
      <c r="I275" s="5"/>
      <c r="J275" s="5"/>
      <c r="K275" s="5"/>
      <c r="L275" s="5"/>
    </row>
    <row r="276" ht="35.25" customHeight="1">
      <c r="A276" s="5">
        <v>275.0</v>
      </c>
      <c r="B276" s="14" t="s">
        <v>577</v>
      </c>
      <c r="C276" s="6" t="str">
        <f>IFERROR(__xludf.DUMMYFUNCTION("REGEXEXTRACT(B276, ""^[A-Z0-9-]+"")"),"CY-512")</f>
        <v>CY-512</v>
      </c>
      <c r="D276" s="14" t="s">
        <v>578</v>
      </c>
      <c r="E276" s="15" t="s">
        <v>10</v>
      </c>
      <c r="F276" s="26" t="s">
        <v>19</v>
      </c>
      <c r="G276" s="8" t="s">
        <v>27</v>
      </c>
      <c r="H276" s="5" t="str">
        <f>IFERROR(__xludf.DUMMYFUNCTION("REGEXEXTRACT(B276, ""\((\d+)\)"")"),"3")</f>
        <v>3</v>
      </c>
      <c r="I276" s="5"/>
      <c r="J276" s="5"/>
      <c r="K276" s="5"/>
      <c r="L276" s="5"/>
    </row>
    <row r="277" ht="35.25" customHeight="1">
      <c r="A277" s="5">
        <v>276.0</v>
      </c>
      <c r="B277" s="14" t="s">
        <v>579</v>
      </c>
      <c r="C277" s="6" t="str">
        <f>IFERROR(__xludf.DUMMYFUNCTION("REGEXEXTRACT(B277, ""^[A-Z0-9-]+"")"),"CY-513")</f>
        <v>CY-513</v>
      </c>
      <c r="D277" s="14" t="s">
        <v>580</v>
      </c>
      <c r="E277" s="15" t="s">
        <v>10</v>
      </c>
      <c r="F277" s="26" t="s">
        <v>19</v>
      </c>
      <c r="G277" s="8" t="s">
        <v>30</v>
      </c>
      <c r="H277" s="5" t="str">
        <f>IFERROR(__xludf.DUMMYFUNCTION("REGEXEXTRACT(B277, ""\((\d+)\)"")"),"3")</f>
        <v>3</v>
      </c>
      <c r="I277" s="5"/>
      <c r="J277" s="5"/>
      <c r="K277" s="5"/>
      <c r="L277" s="5"/>
    </row>
    <row r="278" ht="35.25" customHeight="1">
      <c r="A278" s="5">
        <v>277.0</v>
      </c>
      <c r="B278" s="14" t="s">
        <v>581</v>
      </c>
      <c r="C278" s="6" t="str">
        <f>IFERROR(__xludf.DUMMYFUNCTION("REGEXEXTRACT(B278, ""^[A-Z0-9-]+"")"),"CY-514")</f>
        <v>CY-514</v>
      </c>
      <c r="D278" s="14" t="s">
        <v>582</v>
      </c>
      <c r="E278" s="15" t="s">
        <v>10</v>
      </c>
      <c r="F278" s="26" t="s">
        <v>19</v>
      </c>
      <c r="G278" s="8" t="s">
        <v>33</v>
      </c>
      <c r="H278" s="5" t="str">
        <f>IFERROR(__xludf.DUMMYFUNCTION("REGEXEXTRACT(B278, ""\((\d+)\)"")"),"3")</f>
        <v>3</v>
      </c>
      <c r="I278" s="5"/>
      <c r="J278" s="5"/>
      <c r="K278" s="5"/>
      <c r="L278" s="5"/>
    </row>
    <row r="279" ht="35.25" customHeight="1">
      <c r="A279" s="5">
        <v>278.0</v>
      </c>
      <c r="B279" s="14" t="s">
        <v>583</v>
      </c>
      <c r="C279" s="6" t="str">
        <f>IFERROR(__xludf.DUMMYFUNCTION("REGEXEXTRACT(B279, ""^[A-Z0-9-]+"")"),"CY")</f>
        <v>CY</v>
      </c>
      <c r="D279" s="14" t="s">
        <v>584</v>
      </c>
      <c r="E279" s="15" t="s">
        <v>10</v>
      </c>
      <c r="F279" s="14" t="s">
        <v>19</v>
      </c>
      <c r="G279" s="8" t="s">
        <v>36</v>
      </c>
      <c r="H279" s="5" t="str">
        <f>IFERROR(__xludf.DUMMYFUNCTION("REGEXEXTRACT(B279, ""\((\d+)\)"")"),"3")</f>
        <v>3</v>
      </c>
      <c r="I279" s="5"/>
      <c r="J279" s="5"/>
      <c r="K279" s="5"/>
      <c r="L279" s="5"/>
    </row>
    <row r="280" ht="35.25" customHeight="1">
      <c r="A280" s="5">
        <v>279.0</v>
      </c>
      <c r="B280" s="14" t="s">
        <v>585</v>
      </c>
      <c r="C280" s="6" t="str">
        <f>IFERROR(__xludf.DUMMYFUNCTION("REGEXEXTRACT(B280, ""^[A-Z0-9-]+"")"),"CY-521")</f>
        <v>CY-521</v>
      </c>
      <c r="D280" s="14" t="s">
        <v>586</v>
      </c>
      <c r="E280" s="15" t="s">
        <v>10</v>
      </c>
      <c r="F280" s="14" t="s">
        <v>19</v>
      </c>
      <c r="G280" s="8" t="s">
        <v>39</v>
      </c>
      <c r="H280" s="5" t="str">
        <f>IFERROR(__xludf.DUMMYFUNCTION("REGEXEXTRACT(B280, ""\((\d+)\)"")"),"3")</f>
        <v>3</v>
      </c>
      <c r="I280" s="5"/>
      <c r="J280" s="5"/>
      <c r="K280" s="5"/>
      <c r="L280" s="5"/>
    </row>
    <row r="281" ht="35.25" customHeight="1">
      <c r="A281" s="5">
        <v>280.0</v>
      </c>
      <c r="B281" s="14" t="s">
        <v>587</v>
      </c>
      <c r="C281" s="6" t="str">
        <f>IFERROR(__xludf.DUMMYFUNCTION("REGEXEXTRACT(B281, ""^[A-Z0-9-]+"")"),"CY-522")</f>
        <v>CY-522</v>
      </c>
      <c r="D281" s="14" t="s">
        <v>588</v>
      </c>
      <c r="E281" s="15" t="s">
        <v>10</v>
      </c>
      <c r="F281" s="14" t="s">
        <v>19</v>
      </c>
      <c r="G281" s="8" t="s">
        <v>12</v>
      </c>
      <c r="H281" s="5" t="str">
        <f>IFERROR(__xludf.DUMMYFUNCTION("REGEXEXTRACT(B281, ""\((\d+)\)"")"),"3")</f>
        <v>3</v>
      </c>
      <c r="I281" s="5"/>
      <c r="J281" s="5"/>
      <c r="K281" s="5"/>
      <c r="L281" s="5"/>
    </row>
    <row r="282" ht="35.25" customHeight="1">
      <c r="A282" s="5">
        <v>281.0</v>
      </c>
      <c r="B282" s="14" t="s">
        <v>589</v>
      </c>
      <c r="C282" s="6" t="str">
        <f>IFERROR(__xludf.DUMMYFUNCTION("REGEXEXTRACT(B282, ""^[A-Z0-9-]+"")"),"CY-523")</f>
        <v>CY-523</v>
      </c>
      <c r="D282" s="14" t="s">
        <v>590</v>
      </c>
      <c r="E282" s="15" t="s">
        <v>10</v>
      </c>
      <c r="F282" s="14" t="s">
        <v>19</v>
      </c>
      <c r="G282" s="8" t="s">
        <v>16</v>
      </c>
      <c r="H282" s="5" t="str">
        <f>IFERROR(__xludf.DUMMYFUNCTION("REGEXEXTRACT(B282, ""\((\d+)\)"")"),"3")</f>
        <v>3</v>
      </c>
      <c r="I282" s="5"/>
      <c r="J282" s="5"/>
      <c r="K282" s="5"/>
      <c r="L282" s="5"/>
    </row>
    <row r="283" ht="35.25" customHeight="1">
      <c r="A283" s="5">
        <v>282.0</v>
      </c>
      <c r="B283" s="6" t="s">
        <v>591</v>
      </c>
      <c r="C283" s="6" t="str">
        <f>IFERROR(__xludf.DUMMYFUNCTION("REGEXEXTRACT(B283, ""^[A-Z0-9-]+"")"),"CY-524")</f>
        <v>CY-524</v>
      </c>
      <c r="D283" s="6" t="s">
        <v>592</v>
      </c>
      <c r="E283" s="15" t="s">
        <v>10</v>
      </c>
      <c r="F283" s="6" t="s">
        <v>19</v>
      </c>
      <c r="G283" s="8" t="s">
        <v>20</v>
      </c>
      <c r="H283" s="5" t="str">
        <f>IFERROR(__xludf.DUMMYFUNCTION("REGEXEXTRACT(B283, ""\((\d+)\)"")"),"3")</f>
        <v>3</v>
      </c>
      <c r="I283" s="5"/>
      <c r="J283" s="5"/>
      <c r="K283" s="5"/>
      <c r="L283" s="5"/>
    </row>
    <row r="284" ht="35.25" customHeight="1">
      <c r="A284" s="5">
        <v>283.0</v>
      </c>
      <c r="B284" s="14" t="s">
        <v>593</v>
      </c>
      <c r="C284" s="6" t="str">
        <f>IFERROR(__xludf.DUMMYFUNCTION("REGEXEXTRACT(B284, ""^[A-Z0-9-]+"")"),"CY-541")</f>
        <v>CY-541</v>
      </c>
      <c r="D284" s="14" t="s">
        <v>594</v>
      </c>
      <c r="E284" s="15" t="s">
        <v>10</v>
      </c>
      <c r="F284" s="6" t="s">
        <v>19</v>
      </c>
      <c r="G284" s="8" t="s">
        <v>24</v>
      </c>
      <c r="H284" s="5" t="str">
        <f>IFERROR(__xludf.DUMMYFUNCTION("REGEXEXTRACT(B284, ""\((\d+)\)"")"),"3")</f>
        <v>3</v>
      </c>
      <c r="I284" s="5"/>
      <c r="J284" s="5"/>
      <c r="K284" s="5"/>
      <c r="L284" s="5"/>
    </row>
    <row r="285" ht="35.25" customHeight="1">
      <c r="A285" s="5">
        <v>284.0</v>
      </c>
      <c r="B285" s="14" t="s">
        <v>595</v>
      </c>
      <c r="C285" s="6" t="str">
        <f>IFERROR(__xludf.DUMMYFUNCTION("REGEXEXTRACT(B285, ""^[A-Z0-9-]+"")"),"CY-547")</f>
        <v>CY-547</v>
      </c>
      <c r="D285" s="14" t="s">
        <v>596</v>
      </c>
      <c r="E285" s="15" t="s">
        <v>10</v>
      </c>
      <c r="F285" s="14" t="s">
        <v>23</v>
      </c>
      <c r="G285" s="8" t="s">
        <v>27</v>
      </c>
      <c r="H285" s="5" t="str">
        <f>IFERROR(__xludf.DUMMYFUNCTION("REGEXEXTRACT(B285, ""\((\d+)\)"")"),"3")</f>
        <v>3</v>
      </c>
      <c r="I285" s="5"/>
      <c r="J285" s="5"/>
      <c r="K285" s="5"/>
      <c r="L285" s="5"/>
    </row>
    <row r="286" ht="35.25" customHeight="1">
      <c r="A286" s="5">
        <v>285.0</v>
      </c>
      <c r="B286" s="14" t="s">
        <v>597</v>
      </c>
      <c r="C286" s="6" t="str">
        <f>IFERROR(__xludf.DUMMYFUNCTION("REGEXEXTRACT(B286, ""^[A-Z0-9-]+"")"),"CY-552")</f>
        <v>CY-552</v>
      </c>
      <c r="D286" s="14" t="s">
        <v>598</v>
      </c>
      <c r="E286" s="15" t="s">
        <v>10</v>
      </c>
      <c r="F286" s="14" t="s">
        <v>19</v>
      </c>
      <c r="G286" s="8" t="s">
        <v>30</v>
      </c>
      <c r="H286" s="5" t="str">
        <f>IFERROR(__xludf.DUMMYFUNCTION("REGEXEXTRACT(B286, ""\((\d+)\)"")"),"3")</f>
        <v>3</v>
      </c>
      <c r="I286" s="5"/>
      <c r="J286" s="5"/>
      <c r="K286" s="5"/>
      <c r="L286" s="5"/>
    </row>
    <row r="287" ht="35.25" customHeight="1">
      <c r="A287" s="5">
        <v>286.0</v>
      </c>
      <c r="B287" s="14" t="s">
        <v>599</v>
      </c>
      <c r="C287" s="6" t="str">
        <f>IFERROR(__xludf.DUMMYFUNCTION("REGEXEXTRACT(B287, ""^[A-Z0-9-]+"")"),"CY-553")</f>
        <v>CY-553</v>
      </c>
      <c r="D287" s="14" t="s">
        <v>600</v>
      </c>
      <c r="E287" s="15" t="s">
        <v>10</v>
      </c>
      <c r="F287" s="14" t="s">
        <v>19</v>
      </c>
      <c r="G287" s="8" t="s">
        <v>33</v>
      </c>
      <c r="H287" s="5" t="str">
        <f>IFERROR(__xludf.DUMMYFUNCTION("REGEXEXTRACT(B287, ""\((\d+)\)"")"),"3")</f>
        <v>3</v>
      </c>
      <c r="I287" s="5"/>
      <c r="J287" s="5"/>
      <c r="K287" s="5"/>
      <c r="L287" s="5"/>
    </row>
    <row r="288" ht="35.25" customHeight="1">
      <c r="A288" s="5">
        <v>287.0</v>
      </c>
      <c r="B288" s="14" t="s">
        <v>601</v>
      </c>
      <c r="C288" s="6" t="str">
        <f>IFERROR(__xludf.DUMMYFUNCTION("REGEXEXTRACT(B288, ""^[A-Z0-9-]+"")"),"CY-554")</f>
        <v>CY-554</v>
      </c>
      <c r="D288" s="14" t="s">
        <v>602</v>
      </c>
      <c r="E288" s="15" t="s">
        <v>10</v>
      </c>
      <c r="F288" s="14" t="s">
        <v>19</v>
      </c>
      <c r="G288" s="8" t="s">
        <v>36</v>
      </c>
      <c r="H288" s="5" t="str">
        <f>IFERROR(__xludf.DUMMYFUNCTION("REGEXEXTRACT(B288, ""\((\d+)\)"")"),"3")</f>
        <v>3</v>
      </c>
      <c r="I288" s="5"/>
      <c r="J288" s="5"/>
      <c r="K288" s="5"/>
      <c r="L288" s="5"/>
    </row>
    <row r="289" ht="35.25" customHeight="1">
      <c r="A289" s="5">
        <v>288.0</v>
      </c>
      <c r="B289" s="14" t="s">
        <v>603</v>
      </c>
      <c r="C289" s="6" t="str">
        <f>IFERROR(__xludf.DUMMYFUNCTION("REGEXEXTRACT(B289, ""^[A-Z0-9-]+"")"),"CY")</f>
        <v>CY</v>
      </c>
      <c r="D289" s="14" t="s">
        <v>604</v>
      </c>
      <c r="E289" s="15" t="s">
        <v>10</v>
      </c>
      <c r="F289" s="14" t="s">
        <v>19</v>
      </c>
      <c r="G289" s="8" t="s">
        <v>39</v>
      </c>
      <c r="H289" s="5" t="str">
        <f>IFERROR(__xludf.DUMMYFUNCTION("REGEXEXTRACT(B289, ""\((\d+)\)"")"),"3")</f>
        <v>3</v>
      </c>
      <c r="I289" s="5"/>
      <c r="J289" s="5"/>
      <c r="K289" s="5"/>
      <c r="L289" s="5"/>
    </row>
    <row r="290" ht="35.25" customHeight="1">
      <c r="A290" s="5">
        <v>289.0</v>
      </c>
      <c r="B290" s="14" t="s">
        <v>605</v>
      </c>
      <c r="C290" s="6" t="str">
        <f>IFERROR(__xludf.DUMMYFUNCTION("REGEXEXTRACT(B290, ""^[A-Z0-9-]+"")"),"CY-556")</f>
        <v>CY-556</v>
      </c>
      <c r="D290" s="14" t="s">
        <v>606</v>
      </c>
      <c r="E290" s="15" t="s">
        <v>10</v>
      </c>
      <c r="F290" s="14" t="s">
        <v>19</v>
      </c>
      <c r="G290" s="8" t="s">
        <v>12</v>
      </c>
      <c r="H290" s="5" t="str">
        <f>IFERROR(__xludf.DUMMYFUNCTION("REGEXEXTRACT(B290, ""\((\d+)\)"")"),"3")</f>
        <v>3</v>
      </c>
      <c r="I290" s="5"/>
      <c r="J290" s="5"/>
      <c r="K290" s="5"/>
      <c r="L290" s="5"/>
    </row>
    <row r="291" ht="35.25" customHeight="1">
      <c r="A291" s="5">
        <v>290.0</v>
      </c>
      <c r="B291" s="22" t="s">
        <v>607</v>
      </c>
      <c r="C291" s="6" t="str">
        <f>IFERROR(__xludf.DUMMYFUNCTION("REGEXEXTRACT(B291, ""^[A-Z0-9-]+"")"),"CY-558")</f>
        <v>CY-558</v>
      </c>
      <c r="D291" s="22" t="s">
        <v>608</v>
      </c>
      <c r="E291" s="23" t="s">
        <v>87</v>
      </c>
      <c r="F291" s="22" t="s">
        <v>19</v>
      </c>
      <c r="G291" s="8" t="s">
        <v>16</v>
      </c>
      <c r="H291" s="5" t="str">
        <f>IFERROR(__xludf.DUMMYFUNCTION("REGEXEXTRACT(B291, ""\((\d+)\)"")"),"3")</f>
        <v>3</v>
      </c>
      <c r="I291" s="5"/>
      <c r="J291" s="5"/>
      <c r="K291" s="5"/>
      <c r="L291" s="5"/>
    </row>
    <row r="292" ht="35.25" customHeight="1">
      <c r="A292" s="5">
        <v>291.0</v>
      </c>
      <c r="B292" s="14" t="s">
        <v>609</v>
      </c>
      <c r="C292" s="6" t="str">
        <f>IFERROR(__xludf.DUMMYFUNCTION("REGEXEXTRACT(B292, ""^[A-Z0-9-]+"")"),"CY")</f>
        <v>CY</v>
      </c>
      <c r="D292" s="14" t="s">
        <v>610</v>
      </c>
      <c r="E292" s="15" t="s">
        <v>87</v>
      </c>
      <c r="F292" s="14">
        <v>4.0</v>
      </c>
      <c r="G292" s="8" t="s">
        <v>20</v>
      </c>
      <c r="H292" s="5" t="str">
        <f>IFERROR(__xludf.DUMMYFUNCTION("REGEXEXTRACT(B292, ""\((\d+)\)"")"),"4")</f>
        <v>4</v>
      </c>
      <c r="I292" s="5"/>
      <c r="J292" s="5"/>
      <c r="K292" s="5"/>
      <c r="L292" s="5"/>
    </row>
    <row r="293" ht="35.25" customHeight="1">
      <c r="A293" s="5">
        <v>292.0</v>
      </c>
      <c r="B293" s="14" t="s">
        <v>611</v>
      </c>
      <c r="C293" s="6" t="str">
        <f>IFERROR(__xludf.DUMMYFUNCTION("REGEXEXTRACT(B293, ""^[A-Z0-9-]+"")"),"CY")</f>
        <v>CY</v>
      </c>
      <c r="D293" s="14" t="s">
        <v>612</v>
      </c>
      <c r="E293" s="15" t="s">
        <v>87</v>
      </c>
      <c r="F293" s="14">
        <v>9.0</v>
      </c>
      <c r="G293" s="8" t="s">
        <v>24</v>
      </c>
      <c r="H293" s="5" t="str">
        <f>IFERROR(__xludf.DUMMYFUNCTION("REGEXEXTRACT(B293, ""\((\d+)\)"")"),"9")</f>
        <v>9</v>
      </c>
      <c r="I293" s="5"/>
      <c r="J293" s="5"/>
      <c r="K293" s="5"/>
      <c r="L293" s="5"/>
    </row>
    <row r="294" ht="35.25" customHeight="1">
      <c r="A294" s="5">
        <v>293.0</v>
      </c>
      <c r="B294" s="22" t="s">
        <v>613</v>
      </c>
      <c r="C294" s="6" t="str">
        <f>IFERROR(__xludf.DUMMYFUNCTION("REGEXEXTRACT(B294, ""^[A-Z0-9-]+"")"),"CY-600")</f>
        <v>CY-600</v>
      </c>
      <c r="D294" s="22" t="s">
        <v>614</v>
      </c>
      <c r="E294" s="23" t="s">
        <v>10</v>
      </c>
      <c r="F294" s="22" t="s">
        <v>77</v>
      </c>
      <c r="G294" s="8" t="s">
        <v>27</v>
      </c>
      <c r="H294" s="5" t="str">
        <f>IFERROR(__xludf.DUMMYFUNCTION("REGEXEXTRACT(B294, ""\((\d+)\)"")"),"1")</f>
        <v>1</v>
      </c>
      <c r="I294" s="5"/>
      <c r="J294" s="5"/>
      <c r="K294" s="5"/>
      <c r="L294" s="5"/>
    </row>
    <row r="295" ht="35.25" customHeight="1">
      <c r="A295" s="5">
        <v>294.0</v>
      </c>
      <c r="B295" s="14" t="s">
        <v>615</v>
      </c>
      <c r="C295" s="6" t="str">
        <f>IFERROR(__xludf.DUMMYFUNCTION("REGEXEXTRACT(B295, ""^[A-Z0-9-]+"")"),"CY-641")</f>
        <v>CY-641</v>
      </c>
      <c r="D295" s="14" t="s">
        <v>616</v>
      </c>
      <c r="E295" s="15" t="s">
        <v>10</v>
      </c>
      <c r="F295" s="14" t="s">
        <v>19</v>
      </c>
      <c r="G295" s="8" t="s">
        <v>30</v>
      </c>
      <c r="H295" s="5" t="str">
        <f>IFERROR(__xludf.DUMMYFUNCTION("REGEXEXTRACT(B295, ""\((\d+)\)"")"),"3")</f>
        <v>3</v>
      </c>
      <c r="I295" s="5"/>
      <c r="J295" s="5"/>
      <c r="K295" s="5"/>
      <c r="L295" s="5"/>
    </row>
    <row r="296" ht="35.25" customHeight="1">
      <c r="A296" s="5">
        <v>295.0</v>
      </c>
      <c r="B296" s="14" t="s">
        <v>617</v>
      </c>
      <c r="C296" s="6" t="str">
        <f>IFERROR(__xludf.DUMMYFUNCTION("REGEXEXTRACT(B296, ""^[A-Z0-9-]+"")"),"CY-642")</f>
        <v>CY-642</v>
      </c>
      <c r="D296" s="14" t="s">
        <v>618</v>
      </c>
      <c r="E296" s="15" t="s">
        <v>10</v>
      </c>
      <c r="F296" s="14" t="s">
        <v>19</v>
      </c>
      <c r="G296" s="8" t="s">
        <v>33</v>
      </c>
      <c r="H296" s="5" t="str">
        <f>IFERROR(__xludf.DUMMYFUNCTION("REGEXEXTRACT(B296, ""\((\d+)\)"")"),"3")</f>
        <v>3</v>
      </c>
      <c r="I296" s="5"/>
      <c r="J296" s="5"/>
      <c r="K296" s="5"/>
      <c r="L296" s="5"/>
    </row>
    <row r="297" ht="35.25" customHeight="1">
      <c r="A297" s="5">
        <v>296.0</v>
      </c>
      <c r="B297" s="14" t="s">
        <v>619</v>
      </c>
      <c r="C297" s="6" t="str">
        <f>IFERROR(__xludf.DUMMYFUNCTION("REGEXEXTRACT(B297, ""^[A-Z0-9-]+"")"),"CY-643")</f>
        <v>CY-643</v>
      </c>
      <c r="D297" s="14" t="s">
        <v>620</v>
      </c>
      <c r="E297" s="15" t="s">
        <v>10</v>
      </c>
      <c r="F297" s="14" t="s">
        <v>19</v>
      </c>
      <c r="G297" s="8" t="s">
        <v>36</v>
      </c>
      <c r="H297" s="5" t="str">
        <f>IFERROR(__xludf.DUMMYFUNCTION("REGEXEXTRACT(B297, ""\((\d+)\)"")"),"3")</f>
        <v>3</v>
      </c>
      <c r="I297" s="5"/>
      <c r="J297" s="5"/>
      <c r="K297" s="5"/>
      <c r="L297" s="5"/>
    </row>
    <row r="298" ht="35.25" customHeight="1">
      <c r="A298" s="5">
        <v>297.0</v>
      </c>
      <c r="B298" s="14" t="s">
        <v>621</v>
      </c>
      <c r="C298" s="6" t="str">
        <f>IFERROR(__xludf.DUMMYFUNCTION("REGEXEXTRACT(B298, ""^[A-Z0-9-]+"")"),"CY-644")</f>
        <v>CY-644</v>
      </c>
      <c r="D298" s="14" t="s">
        <v>622</v>
      </c>
      <c r="E298" s="15" t="s">
        <v>10</v>
      </c>
      <c r="F298" s="14" t="s">
        <v>19</v>
      </c>
      <c r="G298" s="8" t="s">
        <v>39</v>
      </c>
      <c r="H298" s="5" t="str">
        <f>IFERROR(__xludf.DUMMYFUNCTION("REGEXEXTRACT(B298, ""\((\d+)\)"")"),"3")</f>
        <v>3</v>
      </c>
      <c r="I298" s="5"/>
      <c r="J298" s="5"/>
      <c r="K298" s="5"/>
      <c r="L298" s="5"/>
    </row>
    <row r="299" ht="35.25" customHeight="1">
      <c r="A299" s="5">
        <v>298.0</v>
      </c>
      <c r="B299" s="14" t="s">
        <v>623</v>
      </c>
      <c r="C299" s="6" t="str">
        <f>IFERROR(__xludf.DUMMYFUNCTION("REGEXEXTRACT(B299, ""^[A-Z0-9-]+"")"),"CY-645")</f>
        <v>CY-645</v>
      </c>
      <c r="D299" s="14" t="s">
        <v>624</v>
      </c>
      <c r="E299" s="15" t="s">
        <v>10</v>
      </c>
      <c r="F299" s="14" t="s">
        <v>19</v>
      </c>
      <c r="G299" s="8" t="s">
        <v>12</v>
      </c>
      <c r="H299" s="5" t="str">
        <f>IFERROR(__xludf.DUMMYFUNCTION("REGEXEXTRACT(B299, ""\((\d+)\)"")"),"3")</f>
        <v>3</v>
      </c>
      <c r="I299" s="5"/>
      <c r="J299" s="5"/>
      <c r="K299" s="5"/>
      <c r="L299" s="5"/>
    </row>
    <row r="300" ht="35.25" customHeight="1">
      <c r="A300" s="5">
        <v>299.0</v>
      </c>
      <c r="B300" s="14" t="s">
        <v>625</v>
      </c>
      <c r="C300" s="6" t="str">
        <f>IFERROR(__xludf.DUMMYFUNCTION("REGEXEXTRACT(B300, ""^[A-Z0-9-]+"")"),"CY-646")</f>
        <v>CY-646</v>
      </c>
      <c r="D300" s="14" t="s">
        <v>626</v>
      </c>
      <c r="E300" s="15" t="s">
        <v>10</v>
      </c>
      <c r="F300" s="14" t="s">
        <v>19</v>
      </c>
      <c r="G300" s="8" t="s">
        <v>16</v>
      </c>
      <c r="H300" s="5" t="str">
        <f>IFERROR(__xludf.DUMMYFUNCTION("REGEXEXTRACT(B300, ""\((\d+)\)"")"),"3")</f>
        <v>3</v>
      </c>
      <c r="I300" s="5"/>
      <c r="J300" s="5"/>
      <c r="K300" s="5"/>
      <c r="L300" s="5"/>
    </row>
    <row r="301" ht="35.25" customHeight="1">
      <c r="A301" s="5">
        <v>300.0</v>
      </c>
      <c r="B301" s="14" t="s">
        <v>627</v>
      </c>
      <c r="C301" s="6" t="str">
        <f>IFERROR(__xludf.DUMMYFUNCTION("REGEXEXTRACT(B301, ""^[A-Z0-9-]+"")"),"CY")</f>
        <v>CY</v>
      </c>
      <c r="D301" s="14" t="s">
        <v>628</v>
      </c>
      <c r="E301" s="15" t="s">
        <v>10</v>
      </c>
      <c r="F301" s="14" t="s">
        <v>19</v>
      </c>
      <c r="G301" s="8" t="s">
        <v>20</v>
      </c>
      <c r="H301" s="5" t="str">
        <f>IFERROR(__xludf.DUMMYFUNCTION("REGEXEXTRACT(B301, ""\((\d+)\)"")"),"3")</f>
        <v>3</v>
      </c>
      <c r="I301" s="5"/>
      <c r="J301" s="5"/>
      <c r="K301" s="5"/>
      <c r="L301" s="5"/>
    </row>
    <row r="302" ht="35.25" customHeight="1">
      <c r="A302" s="5">
        <v>301.0</v>
      </c>
      <c r="B302" s="14" t="s">
        <v>629</v>
      </c>
      <c r="C302" s="6" t="str">
        <f>IFERROR(__xludf.DUMMYFUNCTION("REGEXEXTRACT(B302, ""^[A-Z0-9-]+"")"),"CY")</f>
        <v>CY</v>
      </c>
      <c r="D302" s="14" t="s">
        <v>630</v>
      </c>
      <c r="E302" s="15" t="s">
        <v>10</v>
      </c>
      <c r="F302" s="14" t="s">
        <v>19</v>
      </c>
      <c r="G302" s="8" t="s">
        <v>24</v>
      </c>
      <c r="H302" s="5" t="str">
        <f>IFERROR(__xludf.DUMMYFUNCTION("REGEXEXTRACT(B302, ""\((\d+)\)"")"),"3")</f>
        <v>3</v>
      </c>
      <c r="I302" s="5"/>
      <c r="J302" s="5"/>
      <c r="K302" s="5"/>
      <c r="L302" s="5"/>
    </row>
    <row r="303" ht="35.25" customHeight="1">
      <c r="A303" s="5">
        <v>302.0</v>
      </c>
      <c r="B303" s="14" t="s">
        <v>631</v>
      </c>
      <c r="C303" s="6" t="str">
        <f>IFERROR(__xludf.DUMMYFUNCTION("REGEXEXTRACT(B303, ""^[A-Z0-9-]+"")"),"CY-701")</f>
        <v>CY-701</v>
      </c>
      <c r="D303" s="14" t="s">
        <v>632</v>
      </c>
      <c r="E303" s="15" t="s">
        <v>10</v>
      </c>
      <c r="F303" s="14" t="s">
        <v>19</v>
      </c>
      <c r="G303" s="8" t="s">
        <v>27</v>
      </c>
      <c r="H303" s="5" t="str">
        <f>IFERROR(__xludf.DUMMYFUNCTION("REGEXEXTRACT(B303, ""\((\d+)\)"")"),"3")</f>
        <v>3</v>
      </c>
      <c r="I303" s="5"/>
      <c r="J303" s="5"/>
      <c r="K303" s="5"/>
      <c r="L303" s="5"/>
    </row>
    <row r="304" ht="35.25" customHeight="1">
      <c r="A304" s="5">
        <v>303.0</v>
      </c>
      <c r="B304" s="14" t="s">
        <v>633</v>
      </c>
      <c r="C304" s="6" t="str">
        <f>IFERROR(__xludf.DUMMYFUNCTION("REGEXEXTRACT(B304, ""^[A-Z0-9-]+"")"),"CY-702")</f>
        <v>CY-702</v>
      </c>
      <c r="D304" s="14" t="s">
        <v>634</v>
      </c>
      <c r="E304" s="15" t="s">
        <v>10</v>
      </c>
      <c r="F304" s="14" t="s">
        <v>19</v>
      </c>
      <c r="G304" s="8" t="s">
        <v>30</v>
      </c>
      <c r="H304" s="5" t="str">
        <f>IFERROR(__xludf.DUMMYFUNCTION("REGEXEXTRACT(B304, ""\((\d+)\)"")"),"3")</f>
        <v>3</v>
      </c>
      <c r="I304" s="5"/>
      <c r="J304" s="5"/>
      <c r="K304" s="5"/>
      <c r="L304" s="5"/>
    </row>
    <row r="305" ht="35.25" customHeight="1">
      <c r="A305" s="5">
        <v>304.0</v>
      </c>
      <c r="B305" s="14" t="s">
        <v>635</v>
      </c>
      <c r="C305" s="6" t="str">
        <f>IFERROR(__xludf.DUMMYFUNCTION("REGEXEXTRACT(B305, ""^[A-Z0-9-]+"")"),"CY-703")</f>
        <v>CY-703</v>
      </c>
      <c r="D305" s="14" t="s">
        <v>636</v>
      </c>
      <c r="E305" s="15" t="s">
        <v>10</v>
      </c>
      <c r="F305" s="14" t="s">
        <v>19</v>
      </c>
      <c r="G305" s="8" t="s">
        <v>33</v>
      </c>
      <c r="H305" s="5" t="str">
        <f>IFERROR(__xludf.DUMMYFUNCTION("REGEXEXTRACT(B305, ""\((\d+)\)"")"),"3")</f>
        <v>3</v>
      </c>
      <c r="I305" s="5"/>
      <c r="J305" s="5"/>
      <c r="K305" s="5"/>
      <c r="L305" s="5"/>
    </row>
    <row r="306" ht="35.25" customHeight="1">
      <c r="A306" s="5">
        <v>305.0</v>
      </c>
      <c r="B306" s="14" t="s">
        <v>637</v>
      </c>
      <c r="C306" s="6" t="str">
        <f>IFERROR(__xludf.DUMMYFUNCTION("REGEXEXTRACT(B306, ""^[A-Z0-9-]+"")"),"CY-704")</f>
        <v>CY-704</v>
      </c>
      <c r="D306" s="14" t="s">
        <v>638</v>
      </c>
      <c r="E306" s="15" t="s">
        <v>10</v>
      </c>
      <c r="F306" s="14" t="s">
        <v>19</v>
      </c>
      <c r="G306" s="8" t="s">
        <v>36</v>
      </c>
      <c r="H306" s="5" t="str">
        <f>IFERROR(__xludf.DUMMYFUNCTION("REGEXEXTRACT(B306, ""\((\d+)\)"")"),"3")</f>
        <v>3</v>
      </c>
      <c r="I306" s="5"/>
      <c r="J306" s="5"/>
      <c r="K306" s="5"/>
      <c r="L306" s="5"/>
    </row>
    <row r="307" ht="35.25" customHeight="1">
      <c r="A307" s="5">
        <v>306.0</v>
      </c>
      <c r="B307" s="14" t="s">
        <v>639</v>
      </c>
      <c r="C307" s="6" t="str">
        <f>IFERROR(__xludf.DUMMYFUNCTION("REGEXEXTRACT(B307, ""^[A-Z0-9-]+"")"),"CY-705")</f>
        <v>CY-705</v>
      </c>
      <c r="D307" s="14" t="s">
        <v>640</v>
      </c>
      <c r="E307" s="15" t="s">
        <v>10</v>
      </c>
      <c r="F307" s="14" t="s">
        <v>19</v>
      </c>
      <c r="G307" s="8" t="s">
        <v>39</v>
      </c>
      <c r="H307" s="5" t="str">
        <f>IFERROR(__xludf.DUMMYFUNCTION("REGEXEXTRACT(B307, ""\((\d+)\)"")"),"3")</f>
        <v>3</v>
      </c>
      <c r="I307" s="5"/>
      <c r="J307" s="5"/>
      <c r="K307" s="5"/>
      <c r="L307" s="5"/>
    </row>
    <row r="308" ht="35.25" customHeight="1">
      <c r="A308" s="5">
        <v>307.0</v>
      </c>
      <c r="B308" s="14" t="s">
        <v>641</v>
      </c>
      <c r="C308" s="6" t="str">
        <f>IFERROR(__xludf.DUMMYFUNCTION("REGEXEXTRACT(B308, ""^[A-Z0-9-]+"")"),"CY-746")</f>
        <v>CY-746</v>
      </c>
      <c r="D308" s="14" t="s">
        <v>642</v>
      </c>
      <c r="E308" s="15" t="s">
        <v>10</v>
      </c>
      <c r="F308" s="14" t="s">
        <v>19</v>
      </c>
      <c r="G308" s="8" t="s">
        <v>12</v>
      </c>
      <c r="H308" s="5" t="str">
        <f>IFERROR(__xludf.DUMMYFUNCTION("REGEXEXTRACT(B308, ""\((\d+)\)"")"),"3")</f>
        <v>3</v>
      </c>
      <c r="I308" s="5"/>
      <c r="J308" s="5"/>
      <c r="K308" s="5"/>
      <c r="L308" s="5"/>
    </row>
    <row r="309" ht="35.25" customHeight="1">
      <c r="A309" s="5">
        <v>308.0</v>
      </c>
      <c r="B309" s="14" t="s">
        <v>643</v>
      </c>
      <c r="C309" s="6" t="str">
        <f>IFERROR(__xludf.DUMMYFUNCTION("REGEXEXTRACT(B309, ""^[A-Z0-9-]+"")"),"DP-301P")</f>
        <v>DP-301P</v>
      </c>
      <c r="D309" s="14" t="s">
        <v>644</v>
      </c>
      <c r="E309" s="15" t="s">
        <v>10</v>
      </c>
      <c r="F309" s="14" t="s">
        <v>645</v>
      </c>
      <c r="G309" s="8" t="s">
        <v>16</v>
      </c>
      <c r="H309" s="5" t="str">
        <f>IFERROR(__xludf.DUMMYFUNCTION("REGEXEXTRACT(B309, ""\((\d+)\)"")"),"4")</f>
        <v>4</v>
      </c>
      <c r="I309" s="5"/>
      <c r="J309" s="5"/>
      <c r="K309" s="5"/>
      <c r="L309" s="5"/>
    </row>
    <row r="310" ht="35.25" customHeight="1">
      <c r="A310" s="5">
        <v>309.0</v>
      </c>
      <c r="B310" s="14" t="s">
        <v>646</v>
      </c>
      <c r="C310" s="6" t="str">
        <f>IFERROR(__xludf.DUMMYFUNCTION("REGEXEXTRACT(B310, ""^[A-Z0-9-]+"")"),"DP")</f>
        <v>DP</v>
      </c>
      <c r="D310" s="14" t="s">
        <v>647</v>
      </c>
      <c r="E310" s="15" t="s">
        <v>87</v>
      </c>
      <c r="F310" s="14" t="s">
        <v>648</v>
      </c>
      <c r="G310" s="8" t="s">
        <v>20</v>
      </c>
      <c r="H310" s="5" t="str">
        <f>IFERROR(__xludf.DUMMYFUNCTION("REGEXEXTRACT(B310, ""\((\d+)\)"")"),"9")</f>
        <v>9</v>
      </c>
      <c r="I310" s="5"/>
      <c r="J310" s="5"/>
      <c r="K310" s="5"/>
      <c r="L310" s="5"/>
    </row>
    <row r="311" ht="35.25" customHeight="1">
      <c r="A311" s="5">
        <v>310.0</v>
      </c>
      <c r="B311" s="14" t="s">
        <v>649</v>
      </c>
      <c r="C311" s="6" t="str">
        <f>IFERROR(__xludf.DUMMYFUNCTION("REGEXEXTRACT(B311, ""^[A-Z0-9-]+"")"),"DP-401P")</f>
        <v>DP-401P</v>
      </c>
      <c r="D311" s="14" t="s">
        <v>650</v>
      </c>
      <c r="E311" s="15" t="s">
        <v>87</v>
      </c>
      <c r="F311" s="14" t="s">
        <v>651</v>
      </c>
      <c r="G311" s="8" t="s">
        <v>24</v>
      </c>
      <c r="H311" s="5" t="str">
        <f>IFERROR(__xludf.DUMMYFUNCTION("REGEXEXTRACT(B311, ""\((\d+)\)"")"),"3")</f>
        <v>3</v>
      </c>
      <c r="I311" s="5"/>
      <c r="J311" s="5"/>
      <c r="K311" s="5"/>
      <c r="L311" s="5"/>
    </row>
    <row r="312" ht="35.25" customHeight="1">
      <c r="A312" s="5">
        <v>311.0</v>
      </c>
      <c r="B312" s="14" t="s">
        <v>652</v>
      </c>
      <c r="C312" s="6" t="str">
        <f>IFERROR(__xludf.DUMMYFUNCTION("REGEXEXTRACT(B312, ""^[A-Z0-9-]+"")"),"DP-401P")</f>
        <v>DP-401P</v>
      </c>
      <c r="D312" s="14" t="s">
        <v>653</v>
      </c>
      <c r="E312" s="15" t="s">
        <v>87</v>
      </c>
      <c r="F312" s="14" t="s">
        <v>654</v>
      </c>
      <c r="G312" s="8" t="s">
        <v>27</v>
      </c>
      <c r="H312" s="5" t="str">
        <f>IFERROR(__xludf.DUMMYFUNCTION("REGEXEXTRACT(B312, ""\((\d+)\)"")"),"8")</f>
        <v>8</v>
      </c>
      <c r="I312" s="5"/>
      <c r="J312" s="5"/>
      <c r="K312" s="5"/>
      <c r="L312" s="5"/>
    </row>
    <row r="313" ht="35.25" customHeight="1">
      <c r="A313" s="5">
        <v>312.0</v>
      </c>
      <c r="B313" s="14" t="s">
        <v>655</v>
      </c>
      <c r="C313" s="6" t="str">
        <f>IFERROR(__xludf.DUMMYFUNCTION("REGEXEXTRACT(B313, ""^[A-Z0-9-]+"")"),"DP-402P")</f>
        <v>DP-402P</v>
      </c>
      <c r="D313" s="14" t="s">
        <v>653</v>
      </c>
      <c r="E313" s="15" t="s">
        <v>87</v>
      </c>
      <c r="F313" s="14" t="s">
        <v>656</v>
      </c>
      <c r="G313" s="8" t="s">
        <v>30</v>
      </c>
      <c r="H313" s="5" t="str">
        <f>IFERROR(__xludf.DUMMYFUNCTION("REGEXEXTRACT(B313, ""\((\d+)\)"")"),"5")</f>
        <v>5</v>
      </c>
      <c r="I313" s="5"/>
      <c r="J313" s="5"/>
      <c r="K313" s="5"/>
      <c r="L313" s="5"/>
    </row>
    <row r="314" ht="35.25" customHeight="1">
      <c r="A314" s="5">
        <v>313.0</v>
      </c>
      <c r="B314" s="14" t="s">
        <v>657</v>
      </c>
      <c r="C314" s="6" t="str">
        <f>IFERROR(__xludf.DUMMYFUNCTION("REGEXEXTRACT(B314, ""^[A-Z0-9-]+"")"),"DP-500P")</f>
        <v>DP-500P</v>
      </c>
      <c r="D314" s="14" t="s">
        <v>658</v>
      </c>
      <c r="E314" s="15" t="s">
        <v>87</v>
      </c>
      <c r="F314" s="14" t="s">
        <v>345</v>
      </c>
      <c r="G314" s="8" t="s">
        <v>33</v>
      </c>
      <c r="H314" s="5" t="str">
        <f>IFERROR(__xludf.DUMMYFUNCTION("REGEXEXTRACT(B314, ""\((\d+)\)"")"),"3")</f>
        <v>3</v>
      </c>
      <c r="I314" s="5"/>
      <c r="J314" s="5"/>
      <c r="K314" s="5"/>
      <c r="L314" s="5"/>
    </row>
    <row r="315" ht="35.25" customHeight="1">
      <c r="A315" s="5">
        <v>314.0</v>
      </c>
      <c r="B315" s="14" t="s">
        <v>659</v>
      </c>
      <c r="C315" s="6" t="str">
        <f>IFERROR(__xludf.DUMMYFUNCTION("REGEXEXTRACT(B315, ""^[A-Z0-9-]+"")"),"DP-501P")</f>
        <v>DP-501P</v>
      </c>
      <c r="D315" s="14" t="s">
        <v>660</v>
      </c>
      <c r="E315" s="15" t="s">
        <v>10</v>
      </c>
      <c r="F315" s="14" t="s">
        <v>331</v>
      </c>
      <c r="G315" s="8" t="s">
        <v>36</v>
      </c>
      <c r="H315" s="5" t="str">
        <f>IFERROR(__xludf.DUMMYFUNCTION("REGEXEXTRACT(B315, ""\((\d+)\)"")"),"2")</f>
        <v>2</v>
      </c>
      <c r="I315" s="5"/>
      <c r="J315" s="5"/>
      <c r="K315" s="5"/>
      <c r="L315" s="5"/>
    </row>
    <row r="316" ht="35.25" customHeight="1">
      <c r="A316" s="5">
        <v>315.0</v>
      </c>
      <c r="B316" s="14" t="s">
        <v>661</v>
      </c>
      <c r="C316" s="6" t="str">
        <f>IFERROR(__xludf.DUMMYFUNCTION("REGEXEXTRACT(B316, ""^[A-Z0-9-]+"")"),"DP-502P")</f>
        <v>DP-502P</v>
      </c>
      <c r="D316" s="14" t="s">
        <v>662</v>
      </c>
      <c r="E316" s="15" t="s">
        <v>10</v>
      </c>
      <c r="F316" s="14" t="s">
        <v>331</v>
      </c>
      <c r="G316" s="8" t="s">
        <v>39</v>
      </c>
      <c r="H316" s="5" t="str">
        <f>IFERROR(__xludf.DUMMYFUNCTION("REGEXEXTRACT(B316, ""\((\d+)\)"")"),"2")</f>
        <v>2</v>
      </c>
      <c r="I316" s="5"/>
      <c r="J316" s="5"/>
      <c r="K316" s="5"/>
      <c r="L316" s="5"/>
    </row>
    <row r="317" ht="35.25" customHeight="1">
      <c r="A317" s="5">
        <v>316.0</v>
      </c>
      <c r="B317" s="14" t="s">
        <v>663</v>
      </c>
      <c r="C317" s="6" t="str">
        <f>IFERROR(__xludf.DUMMYFUNCTION("REGEXEXTRACT(B317, ""^[A-Z0-9-]+"")"),"DP-503P")</f>
        <v>DP-503P</v>
      </c>
      <c r="D317" s="14" t="s">
        <v>664</v>
      </c>
      <c r="E317" s="15" t="s">
        <v>10</v>
      </c>
      <c r="F317" s="14" t="s">
        <v>331</v>
      </c>
      <c r="G317" s="8" t="s">
        <v>12</v>
      </c>
      <c r="H317" s="5" t="str">
        <f>IFERROR(__xludf.DUMMYFUNCTION("REGEXEXTRACT(B317, ""\((\d+)\)"")"),"2")</f>
        <v>2</v>
      </c>
      <c r="I317" s="5"/>
      <c r="J317" s="5"/>
      <c r="K317" s="5"/>
      <c r="L317" s="5"/>
    </row>
    <row r="318" ht="35.25" customHeight="1">
      <c r="A318" s="5">
        <v>317.0</v>
      </c>
      <c r="B318" s="14" t="s">
        <v>665</v>
      </c>
      <c r="C318" s="6" t="str">
        <f>IFERROR(__xludf.DUMMYFUNCTION("REGEXEXTRACT(B318, ""^[A-Z0-9-]+"")"),"DP-504P")</f>
        <v>DP-504P</v>
      </c>
      <c r="D318" s="14" t="s">
        <v>666</v>
      </c>
      <c r="E318" s="15" t="s">
        <v>10</v>
      </c>
      <c r="F318" s="14" t="s">
        <v>92</v>
      </c>
      <c r="G318" s="8" t="s">
        <v>16</v>
      </c>
      <c r="H318" s="5" t="str">
        <f>IFERROR(__xludf.DUMMYFUNCTION("REGEXEXTRACT(B318, ""\((\d+)\)"")"),"4")</f>
        <v>4</v>
      </c>
      <c r="I318" s="5"/>
      <c r="J318" s="5"/>
      <c r="K318" s="5"/>
      <c r="L318" s="5"/>
    </row>
    <row r="319" ht="35.25" customHeight="1">
      <c r="A319" s="5">
        <v>318.0</v>
      </c>
      <c r="B319" s="14" t="s">
        <v>667</v>
      </c>
      <c r="C319" s="6" t="str">
        <f>IFERROR(__xludf.DUMMYFUNCTION("REGEXEXTRACT(B319, ""^[A-Z0-9-]+"")"),"DP-505P")</f>
        <v>DP-505P</v>
      </c>
      <c r="D319" s="14" t="s">
        <v>668</v>
      </c>
      <c r="E319" s="15" t="s">
        <v>10</v>
      </c>
      <c r="F319" s="14" t="s">
        <v>648</v>
      </c>
      <c r="G319" s="8" t="s">
        <v>20</v>
      </c>
      <c r="H319" s="5" t="str">
        <f>IFERROR(__xludf.DUMMYFUNCTION("REGEXEXTRACT(B319, ""\((\d+)\)"")"),"9")</f>
        <v>9</v>
      </c>
      <c r="I319" s="5"/>
      <c r="J319" s="5"/>
      <c r="K319" s="5"/>
      <c r="L319" s="5"/>
    </row>
    <row r="320" ht="35.25" customHeight="1">
      <c r="A320" s="5">
        <v>319.0</v>
      </c>
      <c r="B320" s="6" t="s">
        <v>669</v>
      </c>
      <c r="C320" s="6" t="str">
        <f>IFERROR(__xludf.DUMMYFUNCTION("REGEXEXTRACT(B320, ""^[A-Z0-9-]+"")"),"DP")</f>
        <v>DP</v>
      </c>
      <c r="D320" s="6" t="s">
        <v>670</v>
      </c>
      <c r="E320" s="7" t="s">
        <v>87</v>
      </c>
      <c r="F320" s="6" t="s">
        <v>77</v>
      </c>
      <c r="G320" s="8" t="s">
        <v>24</v>
      </c>
      <c r="H320" s="5" t="str">
        <f>IFERROR(__xludf.DUMMYFUNCTION("REGEXEXTRACT(B320, ""\((\d+)\)"")"),"1")</f>
        <v>1</v>
      </c>
      <c r="I320" s="5"/>
      <c r="J320" s="5"/>
      <c r="K320" s="5"/>
      <c r="L320" s="5"/>
    </row>
    <row r="321" ht="35.25" customHeight="1">
      <c r="A321" s="5">
        <v>320.0</v>
      </c>
      <c r="B321" s="6" t="s">
        <v>669</v>
      </c>
      <c r="C321" s="6" t="str">
        <f>IFERROR(__xludf.DUMMYFUNCTION("REGEXEXTRACT(B321, ""^[A-Z0-9-]+"")"),"DP")</f>
        <v>DP</v>
      </c>
      <c r="D321" s="6" t="s">
        <v>671</v>
      </c>
      <c r="E321" s="7" t="s">
        <v>87</v>
      </c>
      <c r="F321" s="6" t="s">
        <v>77</v>
      </c>
      <c r="G321" s="8" t="s">
        <v>27</v>
      </c>
      <c r="H321" s="5" t="str">
        <f>IFERROR(__xludf.DUMMYFUNCTION("REGEXEXTRACT(B321, ""\((\d+)\)"")"),"1")</f>
        <v>1</v>
      </c>
      <c r="I321" s="5"/>
      <c r="J321" s="5"/>
      <c r="K321" s="5"/>
      <c r="L321" s="5"/>
    </row>
    <row r="322" ht="35.25" customHeight="1">
      <c r="A322" s="5">
        <v>321.0</v>
      </c>
      <c r="B322" s="27" t="s">
        <v>672</v>
      </c>
      <c r="C322" s="6" t="str">
        <f>IFERROR(__xludf.DUMMYFUNCTION("REGEXEXTRACT(B322, ""^[A-Z0-9-]+"")"),"DS-201")</f>
        <v>DS-201</v>
      </c>
      <c r="D322" s="28" t="s">
        <v>673</v>
      </c>
      <c r="E322" s="29" t="s">
        <v>10</v>
      </c>
      <c r="F322" s="27" t="s">
        <v>23</v>
      </c>
      <c r="G322" s="8" t="s">
        <v>30</v>
      </c>
      <c r="H322" s="5" t="str">
        <f>IFERROR(__xludf.DUMMYFUNCTION("REGEXEXTRACT(B322, ""\((\d+)\)"")"),"3")</f>
        <v>3</v>
      </c>
      <c r="I322" s="5"/>
      <c r="J322" s="5"/>
      <c r="K322" s="5"/>
      <c r="L322" s="5"/>
    </row>
    <row r="323" ht="35.25" customHeight="1">
      <c r="A323" s="5">
        <v>322.0</v>
      </c>
      <c r="B323" s="14" t="s">
        <v>674</v>
      </c>
      <c r="C323" s="6" t="str">
        <f>IFERROR(__xludf.DUMMYFUNCTION("REGEXEXTRACT(B323, ""^[A-Z0-9-]+"")"),"DS-301")</f>
        <v>DS-301</v>
      </c>
      <c r="D323" s="22" t="s">
        <v>675</v>
      </c>
      <c r="E323" s="30" t="s">
        <v>10</v>
      </c>
      <c r="F323" s="31" t="s">
        <v>11</v>
      </c>
      <c r="G323" s="8" t="s">
        <v>33</v>
      </c>
      <c r="H323" s="5" t="str">
        <f>IFERROR(__xludf.DUMMYFUNCTION("REGEXEXTRACT(B323, ""\((\d+)\)"")"),"3")</f>
        <v>3</v>
      </c>
      <c r="I323" s="5"/>
      <c r="J323" s="5"/>
      <c r="K323" s="5"/>
      <c r="L323" s="5"/>
    </row>
    <row r="324" ht="35.25" customHeight="1">
      <c r="A324" s="5">
        <v>323.0</v>
      </c>
      <c r="B324" s="22" t="s">
        <v>676</v>
      </c>
      <c r="C324" s="6" t="str">
        <f>IFERROR(__xludf.DUMMYFUNCTION("REGEXEXTRACT(B324, ""^[A-Z0-9-]+"")"),"DS-302")</f>
        <v>DS-302</v>
      </c>
      <c r="D324" s="22" t="s">
        <v>677</v>
      </c>
      <c r="E324" s="23" t="s">
        <v>10</v>
      </c>
      <c r="F324" s="22" t="s">
        <v>23</v>
      </c>
      <c r="G324" s="8" t="s">
        <v>36</v>
      </c>
      <c r="H324" s="5" t="str">
        <f>IFERROR(__xludf.DUMMYFUNCTION("REGEXEXTRACT(B324, ""\((\d+)\)"")"),"3")</f>
        <v>3</v>
      </c>
      <c r="I324" s="5"/>
      <c r="J324" s="5"/>
      <c r="K324" s="5"/>
      <c r="L324" s="5"/>
    </row>
    <row r="325" ht="35.25" customHeight="1">
      <c r="A325" s="5">
        <v>324.0</v>
      </c>
      <c r="B325" s="22" t="s">
        <v>678</v>
      </c>
      <c r="C325" s="6" t="str">
        <f>IFERROR(__xludf.DUMMYFUNCTION("REGEXEXTRACT(B325, ""^[A-Z0-9-]+"")"),"DS-303")</f>
        <v>DS-303</v>
      </c>
      <c r="D325" s="22" t="s">
        <v>679</v>
      </c>
      <c r="E325" s="23" t="s">
        <v>10</v>
      </c>
      <c r="F325" s="22" t="s">
        <v>19</v>
      </c>
      <c r="G325" s="8" t="s">
        <v>39</v>
      </c>
      <c r="H325" s="5" t="str">
        <f>IFERROR(__xludf.DUMMYFUNCTION("REGEXEXTRACT(B325, ""\((\d+)\)"")"),"3")</f>
        <v>3</v>
      </c>
      <c r="I325" s="5"/>
      <c r="J325" s="5"/>
      <c r="K325" s="5"/>
      <c r="L325" s="5"/>
    </row>
    <row r="326" ht="35.25" customHeight="1">
      <c r="A326" s="5">
        <v>325.0</v>
      </c>
      <c r="B326" s="22" t="s">
        <v>680</v>
      </c>
      <c r="C326" s="6" t="str">
        <f>IFERROR(__xludf.DUMMYFUNCTION("REGEXEXTRACT(B326, ""^[A-Z0-9-]+"")"),"DS-313")</f>
        <v>DS-313</v>
      </c>
      <c r="D326" s="22" t="s">
        <v>681</v>
      </c>
      <c r="E326" s="23" t="s">
        <v>10</v>
      </c>
      <c r="F326" s="22" t="s">
        <v>682</v>
      </c>
      <c r="G326" s="8" t="s">
        <v>12</v>
      </c>
      <c r="H326" s="5" t="str">
        <f>IFERROR(__xludf.DUMMYFUNCTION("REGEXEXTRACT(B326, ""\((\d+)\)"")"),"4")</f>
        <v>4</v>
      </c>
      <c r="I326" s="5"/>
      <c r="J326" s="5"/>
      <c r="K326" s="5"/>
      <c r="L326" s="5"/>
    </row>
    <row r="327" ht="35.25" customHeight="1">
      <c r="A327" s="5">
        <v>326.0</v>
      </c>
      <c r="B327" s="22" t="s">
        <v>683</v>
      </c>
      <c r="C327" s="6" t="str">
        <f>IFERROR(__xludf.DUMMYFUNCTION("REGEXEXTRACT(B327, ""^[A-Z0-9-]+"")"),"DS-401")</f>
        <v>DS-401</v>
      </c>
      <c r="D327" s="22" t="s">
        <v>684</v>
      </c>
      <c r="E327" s="23" t="s">
        <v>10</v>
      </c>
      <c r="F327" s="22" t="s">
        <v>685</v>
      </c>
      <c r="G327" s="8" t="s">
        <v>16</v>
      </c>
      <c r="H327" s="5" t="str">
        <f>IFERROR(__xludf.DUMMYFUNCTION("REGEXEXTRACT(B327, ""\((\d+)\)"")"),"3")</f>
        <v>3</v>
      </c>
      <c r="I327" s="5"/>
      <c r="J327" s="5"/>
      <c r="K327" s="5"/>
      <c r="L327" s="5"/>
    </row>
    <row r="328" ht="35.25" customHeight="1">
      <c r="A328" s="5">
        <v>327.0</v>
      </c>
      <c r="B328" s="22" t="s">
        <v>686</v>
      </c>
      <c r="C328" s="6" t="str">
        <f>IFERROR(__xludf.DUMMYFUNCTION("REGEXEXTRACT(B328, ""^[A-Z0-9-]+"")"),"DS-402")</f>
        <v>DS-402</v>
      </c>
      <c r="D328" s="22" t="s">
        <v>687</v>
      </c>
      <c r="E328" s="23" t="s">
        <v>10</v>
      </c>
      <c r="F328" s="22" t="s">
        <v>23</v>
      </c>
      <c r="G328" s="8" t="s">
        <v>20</v>
      </c>
      <c r="H328" s="5" t="str">
        <f>IFERROR(__xludf.DUMMYFUNCTION("REGEXEXTRACT(B328, ""\((\d+)\)"")"),"3")</f>
        <v>3</v>
      </c>
      <c r="I328" s="5"/>
      <c r="J328" s="5"/>
      <c r="K328" s="5"/>
      <c r="L328" s="5"/>
    </row>
    <row r="329" ht="35.25" customHeight="1">
      <c r="A329" s="5">
        <v>328.0</v>
      </c>
      <c r="B329" s="22" t="s">
        <v>688</v>
      </c>
      <c r="C329" s="6" t="str">
        <f>IFERROR(__xludf.DUMMYFUNCTION("REGEXEXTRACT(B329, ""^[A-Z0-9-]+"")"),"DS-403")</f>
        <v>DS-403</v>
      </c>
      <c r="D329" s="22" t="s">
        <v>689</v>
      </c>
      <c r="E329" s="23" t="s">
        <v>10</v>
      </c>
      <c r="F329" s="22" t="s">
        <v>23</v>
      </c>
      <c r="G329" s="8" t="s">
        <v>24</v>
      </c>
      <c r="H329" s="5" t="str">
        <f>IFERROR(__xludf.DUMMYFUNCTION("REGEXEXTRACT(B329, ""\((\d+)\)"")"),"3")</f>
        <v>3</v>
      </c>
      <c r="I329" s="5"/>
      <c r="J329" s="5"/>
      <c r="K329" s="5"/>
      <c r="L329" s="5"/>
    </row>
    <row r="330" ht="35.25" customHeight="1">
      <c r="A330" s="5">
        <v>329.0</v>
      </c>
      <c r="B330" s="22" t="s">
        <v>690</v>
      </c>
      <c r="C330" s="6" t="str">
        <f>IFERROR(__xludf.DUMMYFUNCTION("REGEXEXTRACT(B330, ""^[A-Z0-9-]+"")"),"DS-404")</f>
        <v>DS-404</v>
      </c>
      <c r="D330" s="22" t="s">
        <v>691</v>
      </c>
      <c r="E330" s="23" t="s">
        <v>10</v>
      </c>
      <c r="F330" s="22" t="s">
        <v>19</v>
      </c>
      <c r="G330" s="8" t="s">
        <v>27</v>
      </c>
      <c r="H330" s="5" t="str">
        <f>IFERROR(__xludf.DUMMYFUNCTION("REGEXEXTRACT(B330, ""\((\d+)\)"")"),"3")</f>
        <v>3</v>
      </c>
      <c r="I330" s="5"/>
      <c r="J330" s="5"/>
      <c r="K330" s="5"/>
      <c r="L330" s="5"/>
    </row>
    <row r="331" ht="35.25" customHeight="1">
      <c r="A331" s="5">
        <v>330.0</v>
      </c>
      <c r="B331" s="22" t="s">
        <v>692</v>
      </c>
      <c r="C331" s="6" t="str">
        <f>IFERROR(__xludf.DUMMYFUNCTION("REGEXEXTRACT(B331, ""^[A-Z0-9-]+"")"),"DS-411")</f>
        <v>DS-411</v>
      </c>
      <c r="D331" s="22" t="s">
        <v>684</v>
      </c>
      <c r="E331" s="23" t="s">
        <v>10</v>
      </c>
      <c r="F331" s="22" t="s">
        <v>11</v>
      </c>
      <c r="G331" s="8" t="s">
        <v>30</v>
      </c>
      <c r="H331" s="5" t="str">
        <f>IFERROR(__xludf.DUMMYFUNCTION("REGEXEXTRACT(B331, ""\((\d+)\)"")"),"4")</f>
        <v>4</v>
      </c>
      <c r="I331" s="5"/>
      <c r="J331" s="5"/>
      <c r="K331" s="5"/>
      <c r="L331" s="5"/>
    </row>
    <row r="332" ht="35.25" customHeight="1">
      <c r="A332" s="5">
        <v>331.0</v>
      </c>
      <c r="B332" s="22" t="s">
        <v>693</v>
      </c>
      <c r="C332" s="6" t="str">
        <f>IFERROR(__xludf.DUMMYFUNCTION("REGEXEXTRACT(B332, ""^[A-Z0-9-]+"")"),"DS-412")</f>
        <v>DS-412</v>
      </c>
      <c r="D332" s="22" t="s">
        <v>687</v>
      </c>
      <c r="E332" s="23" t="s">
        <v>10</v>
      </c>
      <c r="F332" s="22" t="s">
        <v>15</v>
      </c>
      <c r="G332" s="8" t="s">
        <v>33</v>
      </c>
      <c r="H332" s="5" t="str">
        <f>IFERROR(__xludf.DUMMYFUNCTION("REGEXEXTRACT(B332, ""\((\d+)\)"")"),"4")</f>
        <v>4</v>
      </c>
      <c r="I332" s="5"/>
      <c r="J332" s="5"/>
      <c r="K332" s="5"/>
      <c r="L332" s="5"/>
    </row>
    <row r="333" ht="35.25" customHeight="1">
      <c r="A333" s="5">
        <v>332.0</v>
      </c>
      <c r="B333" s="22" t="s">
        <v>694</v>
      </c>
      <c r="C333" s="6" t="str">
        <f>IFERROR(__xludf.DUMMYFUNCTION("REGEXEXTRACT(B333, ""^[A-Z0-9-]+"")"),"DS-413")</f>
        <v>DS-413</v>
      </c>
      <c r="D333" s="22" t="s">
        <v>689</v>
      </c>
      <c r="E333" s="23" t="s">
        <v>10</v>
      </c>
      <c r="F333" s="22" t="s">
        <v>682</v>
      </c>
      <c r="G333" s="8" t="s">
        <v>36</v>
      </c>
      <c r="H333" s="5" t="str">
        <f>IFERROR(__xludf.DUMMYFUNCTION("REGEXEXTRACT(B333, ""\((\d+)\)"")"),"4")</f>
        <v>4</v>
      </c>
      <c r="I333" s="5"/>
      <c r="J333" s="5"/>
      <c r="K333" s="5"/>
      <c r="L333" s="5"/>
    </row>
    <row r="334" ht="35.25" customHeight="1">
      <c r="A334" s="5">
        <v>333.0</v>
      </c>
      <c r="B334" s="14" t="s">
        <v>695</v>
      </c>
      <c r="C334" s="6" t="str">
        <f>IFERROR(__xludf.DUMMYFUNCTION("REGEXEXTRACT(B334, ""^[A-Z0-9-]+"")"),"CS-498P")</f>
        <v>CS-498P</v>
      </c>
      <c r="D334" s="14" t="s">
        <v>696</v>
      </c>
      <c r="E334" s="15" t="s">
        <v>87</v>
      </c>
      <c r="F334" s="14" t="s">
        <v>651</v>
      </c>
      <c r="G334" s="8" t="s">
        <v>39</v>
      </c>
      <c r="H334" s="5" t="str">
        <f>IFERROR(__xludf.DUMMYFUNCTION("REGEXEXTRACT(B334, ""\((\d+)\)"")"),"3")</f>
        <v>3</v>
      </c>
      <c r="I334" s="5"/>
      <c r="J334" s="5"/>
      <c r="K334" s="5"/>
      <c r="L334" s="5"/>
    </row>
    <row r="335" ht="35.25" customHeight="1">
      <c r="A335" s="5">
        <v>334.0</v>
      </c>
      <c r="B335" s="14" t="s">
        <v>697</v>
      </c>
      <c r="C335" s="6" t="str">
        <f>IFERROR(__xludf.DUMMYFUNCTION("REGEXEXTRACT(B335, ""^[A-Z0-9-]+"")"),"CE-498P")</f>
        <v>CE-498P</v>
      </c>
      <c r="D335" s="14" t="s">
        <v>696</v>
      </c>
      <c r="E335" s="15" t="s">
        <v>87</v>
      </c>
      <c r="F335" s="14" t="s">
        <v>651</v>
      </c>
      <c r="G335" s="8" t="s">
        <v>12</v>
      </c>
      <c r="H335" s="5" t="str">
        <f>IFERROR(__xludf.DUMMYFUNCTION("REGEXEXTRACT(B335, ""\((\d+)\)"")"),"3")</f>
        <v>3</v>
      </c>
      <c r="I335" s="5"/>
      <c r="J335" s="5"/>
      <c r="K335" s="5"/>
      <c r="L335" s="5"/>
    </row>
    <row r="336" ht="35.25" customHeight="1">
      <c r="A336" s="5">
        <v>335.0</v>
      </c>
      <c r="B336" s="14" t="s">
        <v>698</v>
      </c>
      <c r="C336" s="6" t="str">
        <f>IFERROR(__xludf.DUMMYFUNCTION("REGEXEXTRACT(B336, ""^[A-Z0-9-]+"")"),"EE-498P")</f>
        <v>EE-498P</v>
      </c>
      <c r="D336" s="14" t="s">
        <v>696</v>
      </c>
      <c r="E336" s="15" t="s">
        <v>87</v>
      </c>
      <c r="F336" s="14" t="s">
        <v>651</v>
      </c>
      <c r="G336" s="8" t="s">
        <v>16</v>
      </c>
      <c r="H336" s="5" t="str">
        <f>IFERROR(__xludf.DUMMYFUNCTION("REGEXEXTRACT(B336, ""\((\d+)\)"")"),"3")</f>
        <v>3</v>
      </c>
      <c r="I336" s="5"/>
      <c r="J336" s="5"/>
      <c r="K336" s="5"/>
      <c r="L336" s="5"/>
    </row>
    <row r="337" ht="35.25" customHeight="1">
      <c r="A337" s="5">
        <v>336.0</v>
      </c>
      <c r="B337" s="14" t="s">
        <v>699</v>
      </c>
      <c r="C337" s="6" t="str">
        <f>IFERROR(__xludf.DUMMYFUNCTION("REGEXEXTRACT(B337, ""^[A-Z0-9-]+"")"),"ME-498P")</f>
        <v>ME-498P</v>
      </c>
      <c r="D337" s="14" t="s">
        <v>696</v>
      </c>
      <c r="E337" s="15" t="s">
        <v>87</v>
      </c>
      <c r="F337" s="14" t="s">
        <v>651</v>
      </c>
      <c r="G337" s="8" t="s">
        <v>20</v>
      </c>
      <c r="H337" s="5" t="str">
        <f>IFERROR(__xludf.DUMMYFUNCTION("REGEXEXTRACT(B337, ""\((\d+)\)"")"),"3")</f>
        <v>3</v>
      </c>
      <c r="I337" s="5"/>
      <c r="J337" s="5"/>
      <c r="K337" s="5"/>
      <c r="L337" s="5"/>
    </row>
    <row r="338" ht="35.25" customHeight="1">
      <c r="A338" s="5">
        <v>337.0</v>
      </c>
      <c r="B338" s="14" t="s">
        <v>700</v>
      </c>
      <c r="C338" s="6" t="str">
        <f>IFERROR(__xludf.DUMMYFUNCTION("REGEXEXTRACT(B338, ""^[A-Z0-9-]+"")"),"EP-498P")</f>
        <v>EP-498P</v>
      </c>
      <c r="D338" s="14" t="s">
        <v>696</v>
      </c>
      <c r="E338" s="15" t="s">
        <v>87</v>
      </c>
      <c r="F338" s="14" t="s">
        <v>651</v>
      </c>
      <c r="G338" s="8" t="s">
        <v>24</v>
      </c>
      <c r="H338" s="5" t="str">
        <f>IFERROR(__xludf.DUMMYFUNCTION("REGEXEXTRACT(B338, ""\((\d+)\)"")"),"3")</f>
        <v>3</v>
      </c>
      <c r="I338" s="5"/>
      <c r="J338" s="5"/>
      <c r="K338" s="5"/>
      <c r="L338" s="5"/>
    </row>
    <row r="339" ht="35.25" customHeight="1">
      <c r="A339" s="5">
        <v>338.0</v>
      </c>
      <c r="B339" s="14" t="s">
        <v>701</v>
      </c>
      <c r="C339" s="6" t="str">
        <f>IFERROR(__xludf.DUMMYFUNCTION("REGEXEXTRACT(B339, ""^[A-Z0-9-]+"")"),"DS-498P")</f>
        <v>DS-498P</v>
      </c>
      <c r="D339" s="14" t="s">
        <v>696</v>
      </c>
      <c r="E339" s="15" t="s">
        <v>87</v>
      </c>
      <c r="F339" s="14" t="s">
        <v>651</v>
      </c>
      <c r="G339" s="8" t="s">
        <v>27</v>
      </c>
      <c r="H339" s="5" t="str">
        <f>IFERROR(__xludf.DUMMYFUNCTION("REGEXEXTRACT(B339, ""\((\d+)\)"")"),"3")</f>
        <v>3</v>
      </c>
      <c r="I339" s="5"/>
      <c r="J339" s="5"/>
      <c r="K339" s="5"/>
      <c r="L339" s="5"/>
    </row>
    <row r="340" ht="35.25" customHeight="1">
      <c r="A340" s="5">
        <v>339.0</v>
      </c>
      <c r="B340" s="14" t="s">
        <v>702</v>
      </c>
      <c r="C340" s="6" t="str">
        <f>IFERROR(__xludf.DUMMYFUNCTION("REGEXEXTRACT(B340, ""^[A-Z0-9-]+"")"),"BE-498P")</f>
        <v>BE-498P</v>
      </c>
      <c r="D340" s="14" t="s">
        <v>696</v>
      </c>
      <c r="E340" s="15" t="s">
        <v>87</v>
      </c>
      <c r="F340" s="14" t="s">
        <v>651</v>
      </c>
      <c r="G340" s="8" t="s">
        <v>30</v>
      </c>
      <c r="H340" s="5" t="str">
        <f>IFERROR(__xludf.DUMMYFUNCTION("REGEXEXTRACT(B340, ""\((\d+)\)"")"),"3")</f>
        <v>3</v>
      </c>
      <c r="I340" s="5"/>
      <c r="J340" s="5"/>
      <c r="K340" s="5"/>
      <c r="L340" s="5"/>
    </row>
    <row r="341" ht="35.25" customHeight="1">
      <c r="A341" s="5">
        <v>340.0</v>
      </c>
      <c r="B341" s="14" t="s">
        <v>703</v>
      </c>
      <c r="C341" s="6" t="str">
        <f>IFERROR(__xludf.DUMMYFUNCTION("REGEXEXTRACT(B341, ""^[A-Z0-9-]+"")"),"DS-499P")</f>
        <v>DS-499P</v>
      </c>
      <c r="D341" s="14" t="s">
        <v>704</v>
      </c>
      <c r="E341" s="15" t="s">
        <v>87</v>
      </c>
      <c r="F341" s="14" t="s">
        <v>656</v>
      </c>
      <c r="G341" s="8" t="s">
        <v>33</v>
      </c>
      <c r="H341" s="5" t="str">
        <f>IFERROR(__xludf.DUMMYFUNCTION("REGEXEXTRACT(B341, ""\((\d+)\)"")"),"5")</f>
        <v>5</v>
      </c>
      <c r="I341" s="5"/>
      <c r="J341" s="5"/>
      <c r="K341" s="5"/>
      <c r="L341" s="5"/>
    </row>
    <row r="342" ht="35.25" customHeight="1">
      <c r="A342" s="5">
        <v>341.0</v>
      </c>
      <c r="B342" s="14" t="s">
        <v>705</v>
      </c>
      <c r="C342" s="6" t="str">
        <f>IFERROR(__xludf.DUMMYFUNCTION("REGEXEXTRACT(B342, ""^[A-Z0-9-]+"")"),"BE-499P")</f>
        <v>BE-499P</v>
      </c>
      <c r="D342" s="14" t="s">
        <v>704</v>
      </c>
      <c r="E342" s="15" t="s">
        <v>87</v>
      </c>
      <c r="F342" s="14" t="s">
        <v>656</v>
      </c>
      <c r="G342" s="8" t="s">
        <v>36</v>
      </c>
      <c r="H342" s="5" t="str">
        <f>IFERROR(__xludf.DUMMYFUNCTION("REGEXEXTRACT(B342, ""\((\d+)\)"")"),"5")</f>
        <v>5</v>
      </c>
      <c r="I342" s="5"/>
      <c r="J342" s="5"/>
      <c r="K342" s="5"/>
      <c r="L342" s="5"/>
    </row>
    <row r="343" ht="35.25" customHeight="1">
      <c r="A343" s="5">
        <v>342.0</v>
      </c>
      <c r="B343" s="14" t="s">
        <v>706</v>
      </c>
      <c r="C343" s="6" t="str">
        <f>IFERROR(__xludf.DUMMYFUNCTION("REGEXEXTRACT(B343, ""^[A-Z0-9-]+"")"),"CS-499P")</f>
        <v>CS-499P</v>
      </c>
      <c r="D343" s="14" t="s">
        <v>704</v>
      </c>
      <c r="E343" s="15" t="s">
        <v>87</v>
      </c>
      <c r="F343" s="14" t="s">
        <v>656</v>
      </c>
      <c r="G343" s="8" t="s">
        <v>39</v>
      </c>
      <c r="H343" s="5" t="str">
        <f>IFERROR(__xludf.DUMMYFUNCTION("REGEXEXTRACT(B343, ""\((\d+)\)"")"),"5")</f>
        <v>5</v>
      </c>
      <c r="I343" s="5"/>
      <c r="J343" s="5"/>
      <c r="K343" s="5"/>
      <c r="L343" s="5"/>
    </row>
    <row r="344" ht="35.25" customHeight="1">
      <c r="A344" s="5">
        <v>343.0</v>
      </c>
      <c r="B344" s="14" t="s">
        <v>707</v>
      </c>
      <c r="C344" s="6" t="str">
        <f>IFERROR(__xludf.DUMMYFUNCTION("REGEXEXTRACT(B344, ""^[A-Z0-9-]+"")"),"CE-499P")</f>
        <v>CE-499P</v>
      </c>
      <c r="D344" s="14" t="s">
        <v>704</v>
      </c>
      <c r="E344" s="15" t="s">
        <v>87</v>
      </c>
      <c r="F344" s="14" t="s">
        <v>656</v>
      </c>
      <c r="G344" s="8" t="s">
        <v>12</v>
      </c>
      <c r="H344" s="5" t="str">
        <f>IFERROR(__xludf.DUMMYFUNCTION("REGEXEXTRACT(B344, ""\((\d+)\)"")"),"5")</f>
        <v>5</v>
      </c>
      <c r="I344" s="5"/>
      <c r="J344" s="5"/>
      <c r="K344" s="5"/>
      <c r="L344" s="5"/>
    </row>
    <row r="345" ht="35.25" customHeight="1">
      <c r="A345" s="5">
        <v>344.0</v>
      </c>
      <c r="B345" s="14" t="s">
        <v>708</v>
      </c>
      <c r="C345" s="6" t="str">
        <f>IFERROR(__xludf.DUMMYFUNCTION("REGEXEXTRACT(B345, ""^[A-Z0-9-]+"")"),"EE-499P")</f>
        <v>EE-499P</v>
      </c>
      <c r="D345" s="14" t="s">
        <v>704</v>
      </c>
      <c r="E345" s="15" t="s">
        <v>87</v>
      </c>
      <c r="F345" s="14" t="s">
        <v>656</v>
      </c>
      <c r="G345" s="8" t="s">
        <v>16</v>
      </c>
      <c r="H345" s="5" t="str">
        <f>IFERROR(__xludf.DUMMYFUNCTION("REGEXEXTRACT(B345, ""\((\d+)\)"")"),"5")</f>
        <v>5</v>
      </c>
      <c r="I345" s="5"/>
      <c r="J345" s="5"/>
      <c r="K345" s="5"/>
      <c r="L345" s="5"/>
    </row>
    <row r="346" ht="35.25" customHeight="1">
      <c r="A346" s="5">
        <v>345.0</v>
      </c>
      <c r="B346" s="14" t="s">
        <v>709</v>
      </c>
      <c r="C346" s="6" t="str">
        <f>IFERROR(__xludf.DUMMYFUNCTION("REGEXEXTRACT(B346, ""^[A-Z0-9-]+"")"),"ME-499P")</f>
        <v>ME-499P</v>
      </c>
      <c r="D346" s="14" t="s">
        <v>704</v>
      </c>
      <c r="E346" s="15" t="s">
        <v>87</v>
      </c>
      <c r="F346" s="14" t="s">
        <v>656</v>
      </c>
      <c r="G346" s="8" t="s">
        <v>20</v>
      </c>
      <c r="H346" s="5" t="str">
        <f>IFERROR(__xludf.DUMMYFUNCTION("REGEXEXTRACT(B346, ""\((\d+)\)"")"),"5")</f>
        <v>5</v>
      </c>
      <c r="I346" s="5"/>
      <c r="J346" s="5"/>
      <c r="K346" s="5"/>
      <c r="L346" s="5"/>
    </row>
    <row r="347" ht="35.25" customHeight="1">
      <c r="A347" s="5">
        <v>346.0</v>
      </c>
      <c r="B347" s="14" t="s">
        <v>710</v>
      </c>
      <c r="C347" s="6" t="str">
        <f>IFERROR(__xludf.DUMMYFUNCTION("REGEXEXTRACT(B347, ""^[A-Z0-9-]+"")"),"EP-499P")</f>
        <v>EP-499P</v>
      </c>
      <c r="D347" s="14" t="s">
        <v>704</v>
      </c>
      <c r="E347" s="15" t="s">
        <v>87</v>
      </c>
      <c r="F347" s="14" t="s">
        <v>656</v>
      </c>
      <c r="G347" s="8" t="s">
        <v>24</v>
      </c>
      <c r="H347" s="5" t="str">
        <f>IFERROR(__xludf.DUMMYFUNCTION("REGEXEXTRACT(B347, ""\((\d+)\)"")"),"5")</f>
        <v>5</v>
      </c>
      <c r="I347" s="5"/>
      <c r="J347" s="5"/>
      <c r="K347" s="5"/>
      <c r="L347" s="5"/>
    </row>
    <row r="348" ht="35.25" customHeight="1">
      <c r="A348" s="5">
        <v>347.0</v>
      </c>
      <c r="B348" s="14" t="s">
        <v>711</v>
      </c>
      <c r="C348" s="6" t="str">
        <f>IFERROR(__xludf.DUMMYFUNCTION("REGEXEXTRACT(B348, ""^[A-Z0-9-]+"")"),"EE-201")</f>
        <v>EE-201</v>
      </c>
      <c r="D348" s="14" t="s">
        <v>712</v>
      </c>
      <c r="E348" s="15" t="s">
        <v>10</v>
      </c>
      <c r="F348" s="14" t="s">
        <v>713</v>
      </c>
      <c r="G348" s="8" t="s">
        <v>27</v>
      </c>
      <c r="H348" s="5" t="str">
        <f>IFERROR(__xludf.DUMMYFUNCTION("REGEXEXTRACT(B348, ""\((\d+)\)"")"),"3")</f>
        <v>3</v>
      </c>
      <c r="I348" s="5"/>
      <c r="J348" s="5"/>
      <c r="K348" s="5"/>
      <c r="L348" s="5"/>
    </row>
    <row r="349" ht="35.25" customHeight="1">
      <c r="A349" s="5">
        <v>348.0</v>
      </c>
      <c r="B349" s="14" t="s">
        <v>714</v>
      </c>
      <c r="C349" s="6" t="str">
        <f>IFERROR(__xludf.DUMMYFUNCTION("REGEXEXTRACT(B349, ""^[A-Z0-9-]+"")"),"EE-201P")</f>
        <v>EE-201P</v>
      </c>
      <c r="D349" s="14" t="s">
        <v>715</v>
      </c>
      <c r="E349" s="15" t="s">
        <v>10</v>
      </c>
      <c r="F349" s="14" t="s">
        <v>82</v>
      </c>
      <c r="G349" s="8" t="s">
        <v>30</v>
      </c>
      <c r="H349" s="5" t="str">
        <f>IFERROR(__xludf.DUMMYFUNCTION("REGEXEXTRACT(B349, ""\((\d+)\)"")"),"1")</f>
        <v>1</v>
      </c>
      <c r="I349" s="5"/>
      <c r="J349" s="5"/>
      <c r="K349" s="5"/>
      <c r="L349" s="5"/>
    </row>
    <row r="350" ht="35.25" customHeight="1">
      <c r="A350" s="5">
        <v>349.0</v>
      </c>
      <c r="B350" s="14" t="s">
        <v>716</v>
      </c>
      <c r="C350" s="6" t="str">
        <f>IFERROR(__xludf.DUMMYFUNCTION("REGEXEXTRACT(B350, ""^[A-Z0-9-]+"")"),"EE-203")</f>
        <v>EE-203</v>
      </c>
      <c r="D350" s="14" t="s">
        <v>717</v>
      </c>
      <c r="E350" s="15" t="s">
        <v>10</v>
      </c>
      <c r="F350" s="14">
        <v>3.0</v>
      </c>
      <c r="G350" s="8" t="s">
        <v>33</v>
      </c>
      <c r="H350" s="5" t="str">
        <f>IFERROR(__xludf.DUMMYFUNCTION("REGEXEXTRACT(B350, ""\((\d+)\)"")"),"3")</f>
        <v>3</v>
      </c>
      <c r="I350" s="5"/>
      <c r="J350" s="5"/>
      <c r="K350" s="5"/>
      <c r="L350" s="5"/>
    </row>
    <row r="351" ht="35.25" customHeight="1">
      <c r="A351" s="5">
        <v>350.0</v>
      </c>
      <c r="B351" s="14" t="s">
        <v>718</v>
      </c>
      <c r="C351" s="6" t="str">
        <f>IFERROR(__xludf.DUMMYFUNCTION("REGEXEXTRACT(B351, ""^[A-Z0-9-]+"")"),"EE-203")</f>
        <v>EE-203</v>
      </c>
      <c r="D351" s="14" t="s">
        <v>717</v>
      </c>
      <c r="E351" s="15" t="s">
        <v>87</v>
      </c>
      <c r="F351" s="14" t="s">
        <v>11</v>
      </c>
      <c r="G351" s="8" t="s">
        <v>36</v>
      </c>
      <c r="H351" s="5" t="str">
        <f>IFERROR(__xludf.DUMMYFUNCTION("REGEXEXTRACT(B351, ""\((\d+)\)"")"),"4")</f>
        <v>4</v>
      </c>
      <c r="I351" s="5"/>
      <c r="J351" s="5"/>
      <c r="K351" s="5"/>
      <c r="L351" s="5"/>
    </row>
    <row r="352" ht="35.25" customHeight="1">
      <c r="A352" s="5">
        <v>351.0</v>
      </c>
      <c r="B352" s="11" t="s">
        <v>719</v>
      </c>
      <c r="C352" s="6" t="str">
        <f>IFERROR(__xludf.DUMMYFUNCTION("REGEXEXTRACT(B352, ""^[A-Z0-9-]+"")"),"EE-205")</f>
        <v>EE-205</v>
      </c>
      <c r="D352" s="11" t="s">
        <v>720</v>
      </c>
      <c r="E352" s="25" t="s">
        <v>10</v>
      </c>
      <c r="F352" s="16" t="s">
        <v>713</v>
      </c>
      <c r="G352" s="8" t="s">
        <v>39</v>
      </c>
      <c r="H352" s="5" t="str">
        <f>IFERROR(__xludf.DUMMYFUNCTION("REGEXEXTRACT(B352, ""\((\d+)\)"")"),"3")</f>
        <v>3</v>
      </c>
      <c r="I352" s="5"/>
      <c r="J352" s="5"/>
      <c r="K352" s="5"/>
      <c r="L352" s="5"/>
    </row>
    <row r="353" ht="35.25" customHeight="1">
      <c r="A353" s="5">
        <v>352.0</v>
      </c>
      <c r="B353" s="14" t="s">
        <v>721</v>
      </c>
      <c r="C353" s="6" t="str">
        <f>IFERROR(__xludf.DUMMYFUNCTION("REGEXEXTRACT(B353, ""^[A-Z0-9-]+"")"),"EE-208P")</f>
        <v>EE-208P</v>
      </c>
      <c r="D353" s="14" t="s">
        <v>722</v>
      </c>
      <c r="E353" s="15" t="s">
        <v>10</v>
      </c>
      <c r="F353" s="14" t="s">
        <v>723</v>
      </c>
      <c r="G353" s="8" t="s">
        <v>12</v>
      </c>
      <c r="H353" s="5" t="str">
        <f>IFERROR(__xludf.DUMMYFUNCTION("REGEXEXTRACT(B353, ""\((\d+)\)"")"),"2")</f>
        <v>2</v>
      </c>
      <c r="I353" s="5"/>
      <c r="J353" s="5"/>
      <c r="K353" s="5"/>
      <c r="L353" s="5"/>
    </row>
    <row r="354" ht="35.25" customHeight="1">
      <c r="A354" s="5">
        <v>353.0</v>
      </c>
      <c r="B354" s="14" t="s">
        <v>724</v>
      </c>
      <c r="C354" s="6" t="str">
        <f>IFERROR(__xludf.DUMMYFUNCTION("REGEXEXTRACT(B354, ""^[A-Z0-9-]+"")"),"EE")</f>
        <v>EE</v>
      </c>
      <c r="D354" s="14" t="s">
        <v>725</v>
      </c>
      <c r="E354" s="19" t="s">
        <v>10</v>
      </c>
      <c r="F354" s="14" t="s">
        <v>15</v>
      </c>
      <c r="G354" s="8" t="s">
        <v>16</v>
      </c>
      <c r="H354" s="5" t="str">
        <f>IFERROR(__xludf.DUMMYFUNCTION("REGEXEXTRACT(B354, ""\((\d+)\)"")"),"4")</f>
        <v>4</v>
      </c>
      <c r="I354" s="5"/>
      <c r="J354" s="5"/>
      <c r="K354" s="5"/>
      <c r="L354" s="5"/>
    </row>
    <row r="355" ht="35.25" customHeight="1">
      <c r="A355" s="5">
        <v>354.0</v>
      </c>
      <c r="B355" s="14" t="s">
        <v>726</v>
      </c>
      <c r="C355" s="6" t="str">
        <f>IFERROR(__xludf.DUMMYFUNCTION("REGEXEXTRACT(B355, ""^[A-Z0-9-]+"")"),"EE")</f>
        <v>EE</v>
      </c>
      <c r="D355" s="14" t="s">
        <v>727</v>
      </c>
      <c r="E355" s="15" t="s">
        <v>10</v>
      </c>
      <c r="F355" s="14" t="s">
        <v>23</v>
      </c>
      <c r="G355" s="8" t="s">
        <v>20</v>
      </c>
      <c r="H355" s="5" t="str">
        <f>IFERROR(__xludf.DUMMYFUNCTION("REGEXEXTRACT(B355, ""\((\d+)\)"")"),"3")</f>
        <v>3</v>
      </c>
      <c r="I355" s="5"/>
      <c r="J355" s="5"/>
      <c r="K355" s="5"/>
      <c r="L355" s="5"/>
    </row>
    <row r="356" ht="35.25" customHeight="1">
      <c r="A356" s="5">
        <v>355.0</v>
      </c>
      <c r="B356" s="16" t="s">
        <v>728</v>
      </c>
      <c r="C356" s="6" t="str">
        <f>IFERROR(__xludf.DUMMYFUNCTION("REGEXEXTRACT(B356, ""^[A-Z0-9-]+"")"),"EE-223P")</f>
        <v>EE-223P</v>
      </c>
      <c r="D356" s="11" t="s">
        <v>249</v>
      </c>
      <c r="E356" s="15" t="s">
        <v>10</v>
      </c>
      <c r="F356" s="11" t="s">
        <v>82</v>
      </c>
      <c r="G356" s="8" t="s">
        <v>24</v>
      </c>
      <c r="H356" s="5" t="str">
        <f>IFERROR(__xludf.DUMMYFUNCTION("REGEXEXTRACT(B356, ""\((\d+)\)"")"),"1")</f>
        <v>1</v>
      </c>
      <c r="I356" s="5"/>
      <c r="J356" s="5"/>
      <c r="K356" s="5"/>
      <c r="L356" s="5"/>
    </row>
    <row r="357" ht="35.25" customHeight="1">
      <c r="A357" s="5">
        <v>356.0</v>
      </c>
      <c r="B357" s="14" t="s">
        <v>729</v>
      </c>
      <c r="C357" s="6" t="str">
        <f>IFERROR(__xludf.DUMMYFUNCTION("REGEXEXTRACT(B357, ""^[A-Z0-9-]+"")"),"EE-231")</f>
        <v>EE-231</v>
      </c>
      <c r="D357" s="12" t="s">
        <v>730</v>
      </c>
      <c r="E357" s="32" t="s">
        <v>10</v>
      </c>
      <c r="F357" s="14" t="s">
        <v>23</v>
      </c>
      <c r="G357" s="8" t="s">
        <v>27</v>
      </c>
      <c r="H357" s="5" t="str">
        <f>IFERROR(__xludf.DUMMYFUNCTION("REGEXEXTRACT(B357, ""\((\d+)\)"")"),"3")</f>
        <v>3</v>
      </c>
      <c r="I357" s="5"/>
      <c r="J357" s="5"/>
      <c r="K357" s="5"/>
      <c r="L357" s="5"/>
    </row>
    <row r="358" ht="35.25" customHeight="1">
      <c r="A358" s="5">
        <v>357.0</v>
      </c>
      <c r="B358" s="14" t="s">
        <v>731</v>
      </c>
      <c r="C358" s="6" t="str">
        <f>IFERROR(__xludf.DUMMYFUNCTION("REGEXEXTRACT(B358, ""^[A-Z0-9-]+"")"),"EE-301P")</f>
        <v>EE-301P</v>
      </c>
      <c r="D358" s="14" t="s">
        <v>732</v>
      </c>
      <c r="E358" s="15" t="s">
        <v>10</v>
      </c>
      <c r="F358" s="14" t="s">
        <v>82</v>
      </c>
      <c r="G358" s="8" t="s">
        <v>30</v>
      </c>
      <c r="H358" s="5" t="str">
        <f>IFERROR(__xludf.DUMMYFUNCTION("REGEXEXTRACT(B358, ""\((\d+)\)"")"),"1")</f>
        <v>1</v>
      </c>
      <c r="I358" s="5"/>
      <c r="J358" s="5"/>
      <c r="K358" s="5"/>
      <c r="L358" s="5"/>
    </row>
    <row r="359" ht="35.25" customHeight="1">
      <c r="A359" s="5">
        <v>358.0</v>
      </c>
      <c r="B359" s="14" t="s">
        <v>733</v>
      </c>
      <c r="C359" s="6" t="str">
        <f>IFERROR(__xludf.DUMMYFUNCTION("REGEXEXTRACT(B359, ""^[A-Z0-9-]+"")"),"EE-303")</f>
        <v>EE-303</v>
      </c>
      <c r="D359" s="14" t="s">
        <v>734</v>
      </c>
      <c r="E359" s="15" t="s">
        <v>10</v>
      </c>
      <c r="F359" s="14" t="s">
        <v>11</v>
      </c>
      <c r="G359" s="8" t="s">
        <v>33</v>
      </c>
      <c r="H359" s="5" t="str">
        <f>IFERROR(__xludf.DUMMYFUNCTION("REGEXEXTRACT(B359, ""\((\d+)\)"")"),"4")</f>
        <v>4</v>
      </c>
      <c r="I359" s="5"/>
      <c r="J359" s="5"/>
      <c r="K359" s="5"/>
      <c r="L359" s="5"/>
    </row>
    <row r="360" ht="35.25" customHeight="1">
      <c r="A360" s="5">
        <v>359.0</v>
      </c>
      <c r="B360" s="14" t="s">
        <v>735</v>
      </c>
      <c r="C360" s="6" t="str">
        <f>IFERROR(__xludf.DUMMYFUNCTION("REGEXEXTRACT(B360, ""^[A-Z0-9-]+"")"),"EE-304")</f>
        <v>EE-304</v>
      </c>
      <c r="D360" s="14" t="s">
        <v>736</v>
      </c>
      <c r="E360" s="15" t="s">
        <v>10</v>
      </c>
      <c r="F360" s="14" t="s">
        <v>11</v>
      </c>
      <c r="G360" s="8" t="s">
        <v>36</v>
      </c>
      <c r="H360" s="5" t="str">
        <f>IFERROR(__xludf.DUMMYFUNCTION("REGEXEXTRACT(B360, ""\((\d+)\)"")"),"4")</f>
        <v>4</v>
      </c>
      <c r="I360" s="5"/>
      <c r="J360" s="5"/>
      <c r="K360" s="5"/>
      <c r="L360" s="5"/>
    </row>
    <row r="361" ht="35.25" customHeight="1">
      <c r="A361" s="5">
        <v>360.0</v>
      </c>
      <c r="B361" s="14" t="s">
        <v>737</v>
      </c>
      <c r="C361" s="6" t="str">
        <f>IFERROR(__xludf.DUMMYFUNCTION("REGEXEXTRACT(B361, ""^[A-Z0-9-]+"")"),"EE-305")</f>
        <v>EE-305</v>
      </c>
      <c r="D361" s="14" t="s">
        <v>738</v>
      </c>
      <c r="E361" s="15" t="s">
        <v>10</v>
      </c>
      <c r="F361" s="14" t="s">
        <v>11</v>
      </c>
      <c r="G361" s="8" t="s">
        <v>39</v>
      </c>
      <c r="H361" s="5" t="str">
        <f>IFERROR(__xludf.DUMMYFUNCTION("REGEXEXTRACT(B361, ""\((\d+)\)"")"),"4")</f>
        <v>4</v>
      </c>
      <c r="I361" s="5"/>
      <c r="J361" s="5"/>
      <c r="K361" s="5"/>
      <c r="L361" s="5"/>
    </row>
    <row r="362" ht="35.25" customHeight="1">
      <c r="A362" s="5">
        <v>361.0</v>
      </c>
      <c r="B362" s="14" t="s">
        <v>739</v>
      </c>
      <c r="C362" s="6" t="str">
        <f>IFERROR(__xludf.DUMMYFUNCTION("REGEXEXTRACT(B362, ""^[A-Z0-9-]+"")"),"EE-309")</f>
        <v>EE-309</v>
      </c>
      <c r="D362" s="14" t="s">
        <v>740</v>
      </c>
      <c r="E362" s="8" t="s">
        <v>10</v>
      </c>
      <c r="F362" s="14" t="s">
        <v>713</v>
      </c>
      <c r="G362" s="8" t="s">
        <v>12</v>
      </c>
      <c r="H362" s="5" t="str">
        <f>IFERROR(__xludf.DUMMYFUNCTION("REGEXEXTRACT(B362, ""\((\d+)\)"")"),"3")</f>
        <v>3</v>
      </c>
      <c r="I362" s="5"/>
      <c r="J362" s="5"/>
      <c r="K362" s="5"/>
      <c r="L362" s="5"/>
    </row>
    <row r="363" ht="35.25" customHeight="1">
      <c r="A363" s="5">
        <v>362.0</v>
      </c>
      <c r="B363" s="14" t="s">
        <v>741</v>
      </c>
      <c r="C363" s="6" t="str">
        <f>IFERROR(__xludf.DUMMYFUNCTION("REGEXEXTRACT(B363, ""^[A-Z0-9-]+"")"),"EE-309P")</f>
        <v>EE-309P</v>
      </c>
      <c r="D363" s="14" t="s">
        <v>742</v>
      </c>
      <c r="E363" s="8" t="s">
        <v>10</v>
      </c>
      <c r="F363" s="14" t="s">
        <v>82</v>
      </c>
      <c r="G363" s="8" t="s">
        <v>16</v>
      </c>
      <c r="H363" s="5" t="str">
        <f>IFERROR(__xludf.DUMMYFUNCTION("REGEXEXTRACT(B363, ""\((\d+)\)"")"),"1")</f>
        <v>1</v>
      </c>
      <c r="I363" s="5"/>
      <c r="J363" s="5"/>
      <c r="K363" s="5"/>
      <c r="L363" s="5"/>
    </row>
    <row r="364" ht="35.25" customHeight="1">
      <c r="A364" s="5">
        <v>363.0</v>
      </c>
      <c r="B364" s="14" t="s">
        <v>743</v>
      </c>
      <c r="C364" s="6" t="str">
        <f>IFERROR(__xludf.DUMMYFUNCTION("REGEXEXTRACT(B364, ""^[A-Z0-9-]+"")"),"EE-311")</f>
        <v>EE-311</v>
      </c>
      <c r="D364" s="14" t="s">
        <v>744</v>
      </c>
      <c r="E364" s="8" t="s">
        <v>10</v>
      </c>
      <c r="F364" s="14" t="s">
        <v>19</v>
      </c>
      <c r="G364" s="8" t="s">
        <v>20</v>
      </c>
      <c r="H364" s="5" t="str">
        <f>IFERROR(__xludf.DUMMYFUNCTION("REGEXEXTRACT(B364, ""\((\d+)\)"")"),"3")</f>
        <v>3</v>
      </c>
      <c r="I364" s="5"/>
      <c r="J364" s="5"/>
      <c r="K364" s="5"/>
      <c r="L364" s="5"/>
    </row>
    <row r="365" ht="35.25" customHeight="1">
      <c r="A365" s="5">
        <v>364.0</v>
      </c>
      <c r="B365" s="14" t="s">
        <v>745</v>
      </c>
      <c r="C365" s="6" t="str">
        <f>IFERROR(__xludf.DUMMYFUNCTION("REGEXEXTRACT(B365, ""^[A-Z0-9-]+"")"),"EE-312P")</f>
        <v>EE-312P</v>
      </c>
      <c r="D365" s="14" t="s">
        <v>746</v>
      </c>
      <c r="E365" s="8" t="s">
        <v>10</v>
      </c>
      <c r="F365" s="14" t="s">
        <v>385</v>
      </c>
      <c r="G365" s="8" t="s">
        <v>24</v>
      </c>
      <c r="H365" s="5" t="str">
        <f>IFERROR(__xludf.DUMMYFUNCTION("REGEXEXTRACT(B365, ""\((\d+)\)"")"),"2")</f>
        <v>2</v>
      </c>
      <c r="I365" s="5"/>
      <c r="J365" s="5"/>
      <c r="K365" s="5"/>
      <c r="L365" s="5"/>
    </row>
    <row r="366" ht="35.25" customHeight="1">
      <c r="A366" s="5">
        <v>365.0</v>
      </c>
      <c r="B366" s="14" t="s">
        <v>747</v>
      </c>
      <c r="C366" s="6" t="str">
        <f>IFERROR(__xludf.DUMMYFUNCTION("REGEXEXTRACT(B366, ""^[A-Z0-9-]+"")"),"EE-313")</f>
        <v>EE-313</v>
      </c>
      <c r="D366" s="14" t="s">
        <v>730</v>
      </c>
      <c r="E366" s="8" t="s">
        <v>10</v>
      </c>
      <c r="F366" s="14" t="s">
        <v>237</v>
      </c>
      <c r="G366" s="8" t="s">
        <v>27</v>
      </c>
      <c r="H366" s="5" t="str">
        <f>IFERROR(__xludf.DUMMYFUNCTION("REGEXEXTRACT(B366, ""\((\d+)\)"")"),"3")</f>
        <v>3</v>
      </c>
      <c r="I366" s="5"/>
      <c r="J366" s="5"/>
      <c r="K366" s="5"/>
      <c r="L366" s="5"/>
    </row>
    <row r="367" ht="35.25" customHeight="1">
      <c r="A367" s="5">
        <v>366.0</v>
      </c>
      <c r="B367" s="22" t="s">
        <v>748</v>
      </c>
      <c r="C367" s="6" t="str">
        <f>IFERROR(__xludf.DUMMYFUNCTION("REGEXEXTRACT(B367, ""^[A-Z0-9-]+"")"),"EE-314")</f>
        <v>EE-314</v>
      </c>
      <c r="D367" s="22" t="s">
        <v>738</v>
      </c>
      <c r="E367" s="8" t="s">
        <v>10</v>
      </c>
      <c r="F367" s="22" t="s">
        <v>15</v>
      </c>
      <c r="G367" s="8" t="s">
        <v>30</v>
      </c>
      <c r="H367" s="5" t="str">
        <f>IFERROR(__xludf.DUMMYFUNCTION("REGEXEXTRACT(B367, ""\((\d+)\)"")"),"4")</f>
        <v>4</v>
      </c>
      <c r="I367" s="5"/>
      <c r="J367" s="5"/>
      <c r="K367" s="5"/>
      <c r="L367" s="5"/>
    </row>
    <row r="368" ht="35.25" customHeight="1">
      <c r="A368" s="5">
        <v>367.0</v>
      </c>
      <c r="B368" s="11" t="s">
        <v>749</v>
      </c>
      <c r="C368" s="6" t="str">
        <f>IFERROR(__xludf.DUMMYFUNCTION("REGEXEXTRACT(B368, ""^[A-Z0-9-]+"")"),"EE-326")</f>
        <v>EE-326</v>
      </c>
      <c r="D368" s="11" t="s">
        <v>750</v>
      </c>
      <c r="E368" s="8" t="s">
        <v>10</v>
      </c>
      <c r="F368" s="16" t="s">
        <v>15</v>
      </c>
      <c r="G368" s="8" t="s">
        <v>33</v>
      </c>
      <c r="H368" s="5" t="str">
        <f>IFERROR(__xludf.DUMMYFUNCTION("REGEXEXTRACT(B368, ""\((\d+)\)"")"),"4")</f>
        <v>4</v>
      </c>
      <c r="I368" s="5"/>
      <c r="J368" s="5"/>
      <c r="K368" s="5"/>
      <c r="L368" s="5"/>
    </row>
    <row r="369" ht="35.25" customHeight="1">
      <c r="A369" s="5">
        <v>368.0</v>
      </c>
      <c r="B369" s="22" t="s">
        <v>751</v>
      </c>
      <c r="C369" s="6" t="str">
        <f>IFERROR(__xludf.DUMMYFUNCTION("REGEXEXTRACT(B369, ""^[A-Z0-9-]+"")"),"EE-500")</f>
        <v>EE-500</v>
      </c>
      <c r="D369" s="22" t="s">
        <v>752</v>
      </c>
      <c r="E369" s="8" t="s">
        <v>10</v>
      </c>
      <c r="F369" s="22" t="s">
        <v>19</v>
      </c>
      <c r="G369" s="8" t="s">
        <v>36</v>
      </c>
      <c r="H369" s="5" t="str">
        <f>IFERROR(__xludf.DUMMYFUNCTION("REGEXEXTRACT(B369, ""\((\d+)\)"")"),"3")</f>
        <v>3</v>
      </c>
      <c r="I369" s="5"/>
      <c r="J369" s="5"/>
      <c r="K369" s="5"/>
      <c r="L369" s="5"/>
    </row>
    <row r="370" ht="35.25" customHeight="1">
      <c r="A370" s="5">
        <v>369.0</v>
      </c>
      <c r="B370" s="14" t="s">
        <v>753</v>
      </c>
      <c r="C370" s="6" t="str">
        <f>IFERROR(__xludf.DUMMYFUNCTION("REGEXEXTRACT(B370, ""^[A-Z0-9-]+"")"),"EE-501")</f>
        <v>EE-501</v>
      </c>
      <c r="D370" s="14" t="s">
        <v>754</v>
      </c>
      <c r="E370" s="8" t="s">
        <v>10</v>
      </c>
      <c r="F370" s="14">
        <v>3.0</v>
      </c>
      <c r="G370" s="8" t="s">
        <v>39</v>
      </c>
      <c r="H370" s="5" t="str">
        <f>IFERROR(__xludf.DUMMYFUNCTION("REGEXEXTRACT(B370, ""\((\d+)\)"")"),"3")</f>
        <v>3</v>
      </c>
      <c r="I370" s="5"/>
      <c r="J370" s="5"/>
      <c r="K370" s="5"/>
      <c r="L370" s="5"/>
    </row>
    <row r="371" ht="35.25" customHeight="1">
      <c r="A371" s="5">
        <v>370.0</v>
      </c>
      <c r="B371" s="14" t="s">
        <v>755</v>
      </c>
      <c r="C371" s="6" t="str">
        <f>IFERROR(__xludf.DUMMYFUNCTION("REGEXEXTRACT(B371, ""^[A-Z0-9-]+"")"),"EE-502P")</f>
        <v>EE-502P</v>
      </c>
      <c r="D371" s="14" t="s">
        <v>756</v>
      </c>
      <c r="E371" s="8" t="s">
        <v>10</v>
      </c>
      <c r="F371" s="14" t="s">
        <v>385</v>
      </c>
      <c r="G371" s="8" t="s">
        <v>12</v>
      </c>
      <c r="H371" s="5" t="str">
        <f>IFERROR(__xludf.DUMMYFUNCTION("REGEXEXTRACT(B371, ""\((\d+)\)"")"),"2")</f>
        <v>2</v>
      </c>
      <c r="I371" s="5"/>
      <c r="J371" s="5"/>
      <c r="K371" s="5"/>
      <c r="L371" s="5"/>
    </row>
    <row r="372" ht="35.25" customHeight="1">
      <c r="A372" s="5">
        <v>371.0</v>
      </c>
      <c r="B372" s="14" t="s">
        <v>757</v>
      </c>
      <c r="C372" s="6" t="str">
        <f>IFERROR(__xludf.DUMMYFUNCTION("REGEXEXTRACT(B372, ""^[A-Z0-9-]+"")"),"EE-503")</f>
        <v>EE-503</v>
      </c>
      <c r="D372" s="14" t="s">
        <v>758</v>
      </c>
      <c r="E372" s="8" t="s">
        <v>10</v>
      </c>
      <c r="F372" s="14" t="s">
        <v>19</v>
      </c>
      <c r="G372" s="8" t="s">
        <v>16</v>
      </c>
      <c r="H372" s="5" t="str">
        <f>IFERROR(__xludf.DUMMYFUNCTION("REGEXEXTRACT(B372, ""\((\d+)\)"")"),"3")</f>
        <v>3</v>
      </c>
      <c r="I372" s="5"/>
      <c r="J372" s="5"/>
      <c r="K372" s="5"/>
      <c r="L372" s="5"/>
    </row>
    <row r="373" ht="35.25" customHeight="1">
      <c r="A373" s="5">
        <v>372.0</v>
      </c>
      <c r="B373" s="14" t="s">
        <v>759</v>
      </c>
      <c r="C373" s="6" t="str">
        <f>IFERROR(__xludf.DUMMYFUNCTION("REGEXEXTRACT(B373, ""^[A-Z0-9-]+"")"),"EE-504")</f>
        <v>EE-504</v>
      </c>
      <c r="D373" s="14" t="s">
        <v>760</v>
      </c>
      <c r="E373" s="8" t="s">
        <v>10</v>
      </c>
      <c r="F373" s="14" t="s">
        <v>713</v>
      </c>
      <c r="G373" s="8" t="s">
        <v>20</v>
      </c>
      <c r="H373" s="5" t="str">
        <f>IFERROR(__xludf.DUMMYFUNCTION("REGEXEXTRACT(B373, ""\((\d+)\)"")"),"3")</f>
        <v>3</v>
      </c>
      <c r="I373" s="5"/>
      <c r="J373" s="5"/>
      <c r="K373" s="5"/>
      <c r="L373" s="5"/>
    </row>
    <row r="374" ht="35.25" customHeight="1">
      <c r="A374" s="5">
        <v>373.0</v>
      </c>
      <c r="B374" s="14" t="s">
        <v>761</v>
      </c>
      <c r="C374" s="6" t="str">
        <f>IFERROR(__xludf.DUMMYFUNCTION("REGEXEXTRACT(B374, ""^[A-Z0-9-]+"")"),"EE-506")</f>
        <v>EE-506</v>
      </c>
      <c r="D374" s="14" t="s">
        <v>762</v>
      </c>
      <c r="E374" s="15" t="s">
        <v>10</v>
      </c>
      <c r="F374" s="14" t="s">
        <v>713</v>
      </c>
      <c r="G374" s="8" t="s">
        <v>24</v>
      </c>
      <c r="H374" s="5" t="str">
        <f>IFERROR(__xludf.DUMMYFUNCTION("REGEXEXTRACT(B374, ""\((\d+)\)"")"),"3")</f>
        <v>3</v>
      </c>
      <c r="I374" s="5"/>
      <c r="J374" s="5"/>
      <c r="K374" s="5"/>
      <c r="L374" s="5"/>
    </row>
    <row r="375" ht="35.25" customHeight="1">
      <c r="A375" s="5">
        <v>374.0</v>
      </c>
      <c r="B375" s="14" t="s">
        <v>763</v>
      </c>
      <c r="C375" s="6" t="str">
        <f>IFERROR(__xludf.DUMMYFUNCTION("REGEXEXTRACT(B375, ""^[A-Z0-9-]+"")"),"EE-507")</f>
        <v>EE-507</v>
      </c>
      <c r="D375" s="14" t="s">
        <v>764</v>
      </c>
      <c r="E375" s="15" t="s">
        <v>10</v>
      </c>
      <c r="F375" s="14" t="s">
        <v>11</v>
      </c>
      <c r="G375" s="8" t="s">
        <v>27</v>
      </c>
      <c r="H375" s="5" t="str">
        <f>IFERROR(__xludf.DUMMYFUNCTION("REGEXEXTRACT(B375, ""\((\d+)\)"")"),"4")</f>
        <v>4</v>
      </c>
      <c r="I375" s="5"/>
      <c r="J375" s="5"/>
      <c r="K375" s="5"/>
      <c r="L375" s="5"/>
    </row>
    <row r="376" ht="35.25" customHeight="1">
      <c r="A376" s="5">
        <v>375.0</v>
      </c>
      <c r="B376" s="14" t="s">
        <v>765</v>
      </c>
      <c r="C376" s="6" t="str">
        <f>IFERROR(__xludf.DUMMYFUNCTION("REGEXEXTRACT(B376, ""^[A-Z0-9-]+"")"),"EE-508")</f>
        <v>EE-508</v>
      </c>
      <c r="D376" s="14" t="s">
        <v>766</v>
      </c>
      <c r="E376" s="15" t="s">
        <v>10</v>
      </c>
      <c r="F376" s="14" t="s">
        <v>19</v>
      </c>
      <c r="G376" s="8" t="s">
        <v>30</v>
      </c>
      <c r="H376" s="5" t="str">
        <f>IFERROR(__xludf.DUMMYFUNCTION("REGEXEXTRACT(B376, ""\((\d+)\)"")"),"3")</f>
        <v>3</v>
      </c>
      <c r="I376" s="5"/>
      <c r="J376" s="5"/>
      <c r="K376" s="5"/>
      <c r="L376" s="5"/>
    </row>
    <row r="377" ht="35.25" customHeight="1">
      <c r="A377" s="5">
        <v>376.0</v>
      </c>
      <c r="B377" s="14" t="s">
        <v>767</v>
      </c>
      <c r="C377" s="6" t="str">
        <f>IFERROR(__xludf.DUMMYFUNCTION("REGEXEXTRACT(B377, ""^[A-Z0-9-]+"")"),"EE")</f>
        <v>EE</v>
      </c>
      <c r="D377" s="14" t="s">
        <v>768</v>
      </c>
      <c r="E377" s="15" t="s">
        <v>10</v>
      </c>
      <c r="F377" s="14" t="s">
        <v>385</v>
      </c>
      <c r="G377" s="8" t="s">
        <v>33</v>
      </c>
      <c r="H377" s="5" t="str">
        <f>IFERROR(__xludf.DUMMYFUNCTION("REGEXEXTRACT(B377, ""\((\d+)\)"")"),"2")</f>
        <v>2</v>
      </c>
      <c r="I377" s="5"/>
      <c r="J377" s="5"/>
      <c r="K377" s="5"/>
      <c r="L377" s="5"/>
    </row>
    <row r="378" ht="35.25" customHeight="1">
      <c r="A378" s="5">
        <v>377.0</v>
      </c>
      <c r="B378" s="14" t="s">
        <v>769</v>
      </c>
      <c r="C378" s="6" t="str">
        <f>IFERROR(__xludf.DUMMYFUNCTION("REGEXEXTRACT(B378, ""^[A-Z0-9-]+"")"),"EE-509")</f>
        <v>EE-509</v>
      </c>
      <c r="D378" s="14" t="s">
        <v>770</v>
      </c>
      <c r="E378" s="15" t="s">
        <v>10</v>
      </c>
      <c r="F378" s="14" t="s">
        <v>19</v>
      </c>
      <c r="G378" s="8" t="s">
        <v>36</v>
      </c>
      <c r="H378" s="5" t="str">
        <f>IFERROR(__xludf.DUMMYFUNCTION("REGEXEXTRACT(B378, ""\((\d+)\)"")"),"3")</f>
        <v>3</v>
      </c>
      <c r="I378" s="5"/>
      <c r="J378" s="5"/>
      <c r="K378" s="5"/>
      <c r="L378" s="5"/>
    </row>
    <row r="379" ht="35.25" customHeight="1">
      <c r="A379" s="5">
        <v>378.0</v>
      </c>
      <c r="B379" s="18" t="s">
        <v>769</v>
      </c>
      <c r="C379" s="6" t="str">
        <f>IFERROR(__xludf.DUMMYFUNCTION("REGEXEXTRACT(B379, ""^[A-Z0-9-]+"")"),"EE-509")</f>
        <v>EE-509</v>
      </c>
      <c r="D379" s="18" t="s">
        <v>771</v>
      </c>
      <c r="E379" s="19" t="s">
        <v>87</v>
      </c>
      <c r="F379" s="18">
        <v>3.0</v>
      </c>
      <c r="G379" s="8" t="s">
        <v>39</v>
      </c>
      <c r="H379" s="5" t="str">
        <f>IFERROR(__xludf.DUMMYFUNCTION("REGEXEXTRACT(B379, ""\((\d+)\)"")"),"3")</f>
        <v>3</v>
      </c>
      <c r="I379" s="20"/>
      <c r="J379" s="20"/>
      <c r="K379" s="20"/>
      <c r="L379" s="20"/>
    </row>
    <row r="380" ht="35.25" customHeight="1">
      <c r="A380" s="5">
        <v>379.0</v>
      </c>
      <c r="B380" s="18" t="s">
        <v>772</v>
      </c>
      <c r="C380" s="6" t="str">
        <f>IFERROR(__xludf.DUMMYFUNCTION("REGEXEXTRACT(B380, ""^[A-Z0-9-]+"")"),"EE-509")</f>
        <v>EE-509</v>
      </c>
      <c r="D380" s="18" t="s">
        <v>773</v>
      </c>
      <c r="E380" s="19" t="s">
        <v>87</v>
      </c>
      <c r="F380" s="18">
        <v>4.0</v>
      </c>
      <c r="G380" s="8" t="s">
        <v>12</v>
      </c>
      <c r="H380" s="5" t="str">
        <f>IFERROR(__xludf.DUMMYFUNCTION("REGEXEXTRACT(B380, ""\((\d+)\)"")"),"4")</f>
        <v>4</v>
      </c>
      <c r="I380" s="20"/>
      <c r="J380" s="20"/>
      <c r="K380" s="20"/>
      <c r="L380" s="20"/>
    </row>
    <row r="381" ht="35.25" customHeight="1">
      <c r="A381" s="5">
        <v>380.0</v>
      </c>
      <c r="B381" s="14" t="s">
        <v>774</v>
      </c>
      <c r="C381" s="6" t="str">
        <f>IFERROR(__xludf.DUMMYFUNCTION("REGEXEXTRACT(B381, ""^[A-Z0-9-]+"")"),"EE-510")</f>
        <v>EE-510</v>
      </c>
      <c r="D381" s="14" t="s">
        <v>775</v>
      </c>
      <c r="E381" s="15" t="s">
        <v>10</v>
      </c>
      <c r="F381" s="14" t="s">
        <v>435</v>
      </c>
      <c r="G381" s="8" t="s">
        <v>16</v>
      </c>
      <c r="H381" s="5" t="str">
        <f>IFERROR(__xludf.DUMMYFUNCTION("REGEXEXTRACT(B381, ""\((\d+)\)"")"),"4")</f>
        <v>4</v>
      </c>
      <c r="I381" s="5"/>
      <c r="J381" s="5"/>
      <c r="K381" s="5"/>
      <c r="L381" s="5"/>
    </row>
    <row r="382" ht="35.25" customHeight="1">
      <c r="A382" s="5">
        <v>381.0</v>
      </c>
      <c r="B382" s="14" t="s">
        <v>776</v>
      </c>
      <c r="C382" s="6" t="str">
        <f>IFERROR(__xludf.DUMMYFUNCTION("REGEXEXTRACT(B382, ""^[A-Z0-9-]+"")"),"EE-511")</f>
        <v>EE-511</v>
      </c>
      <c r="D382" s="14" t="s">
        <v>777</v>
      </c>
      <c r="E382" s="15" t="s">
        <v>10</v>
      </c>
      <c r="F382" s="14" t="s">
        <v>11</v>
      </c>
      <c r="G382" s="8" t="s">
        <v>20</v>
      </c>
      <c r="H382" s="5" t="str">
        <f>IFERROR(__xludf.DUMMYFUNCTION("REGEXEXTRACT(B382, ""\((\d+)\)"")"),"4")</f>
        <v>4</v>
      </c>
      <c r="I382" s="5"/>
      <c r="J382" s="5"/>
      <c r="K382" s="5"/>
      <c r="L382" s="5"/>
    </row>
    <row r="383" ht="35.25" customHeight="1">
      <c r="A383" s="5">
        <v>382.0</v>
      </c>
      <c r="B383" s="14" t="s">
        <v>778</v>
      </c>
      <c r="C383" s="6" t="str">
        <f>IFERROR(__xludf.DUMMYFUNCTION("REGEXEXTRACT(B383, ""^[A-Z0-9-]+"")"),"EE")</f>
        <v>EE</v>
      </c>
      <c r="D383" s="14" t="s">
        <v>777</v>
      </c>
      <c r="E383" s="15" t="s">
        <v>10</v>
      </c>
      <c r="F383" s="14" t="s">
        <v>15</v>
      </c>
      <c r="G383" s="8" t="s">
        <v>24</v>
      </c>
      <c r="H383" s="5" t="str">
        <f>IFERROR(__xludf.DUMMYFUNCTION("REGEXEXTRACT(B383, ""\((\d+)\)"")"),"4")</f>
        <v>4</v>
      </c>
      <c r="I383" s="5"/>
      <c r="J383" s="5"/>
      <c r="K383" s="5"/>
      <c r="L383" s="5"/>
    </row>
    <row r="384" ht="35.25" customHeight="1">
      <c r="A384" s="5">
        <v>383.0</v>
      </c>
      <c r="B384" s="6" t="s">
        <v>779</v>
      </c>
      <c r="C384" s="6" t="str">
        <f>IFERROR(__xludf.DUMMYFUNCTION("REGEXEXTRACT(B384, ""^[A-Z0-9-]+"")"),"EE-512")</f>
        <v>EE-512</v>
      </c>
      <c r="D384" s="6" t="s">
        <v>780</v>
      </c>
      <c r="E384" s="15" t="s">
        <v>10</v>
      </c>
      <c r="F384" s="14" t="s">
        <v>15</v>
      </c>
      <c r="G384" s="8" t="s">
        <v>27</v>
      </c>
      <c r="H384" s="5" t="str">
        <f>IFERROR(__xludf.DUMMYFUNCTION("REGEXEXTRACT(B384, ""\((\d+)\)"")"),"4")</f>
        <v>4</v>
      </c>
      <c r="I384" s="5"/>
      <c r="J384" s="5"/>
      <c r="K384" s="5"/>
      <c r="L384" s="5"/>
    </row>
    <row r="385" ht="35.25" customHeight="1">
      <c r="A385" s="5">
        <v>384.0</v>
      </c>
      <c r="B385" s="6" t="s">
        <v>781</v>
      </c>
      <c r="C385" s="6" t="str">
        <f>IFERROR(__xludf.DUMMYFUNCTION("REGEXEXTRACT(B385, ""^[A-Z0-9-]+"")"),"EE-513")</f>
        <v>EE-513</v>
      </c>
      <c r="D385" s="6" t="s">
        <v>782</v>
      </c>
      <c r="E385" s="15" t="s">
        <v>10</v>
      </c>
      <c r="F385" s="6" t="s">
        <v>19</v>
      </c>
      <c r="G385" s="8" t="s">
        <v>30</v>
      </c>
      <c r="H385" s="5" t="str">
        <f>IFERROR(__xludf.DUMMYFUNCTION("REGEXEXTRACT(B385, ""\((\d+)\)"")"),"3")</f>
        <v>3</v>
      </c>
      <c r="I385" s="5"/>
      <c r="J385" s="5"/>
      <c r="K385" s="5"/>
      <c r="L385" s="5"/>
    </row>
    <row r="386" ht="35.25" customHeight="1">
      <c r="A386" s="5">
        <v>385.0</v>
      </c>
      <c r="B386" s="6" t="s">
        <v>783</v>
      </c>
      <c r="C386" s="6" t="str">
        <f>IFERROR(__xludf.DUMMYFUNCTION("REGEXEXTRACT(B386, ""^[A-Z0-9-]+"")"),"EE-514")</f>
        <v>EE-514</v>
      </c>
      <c r="D386" s="6" t="s">
        <v>784</v>
      </c>
      <c r="E386" s="15" t="s">
        <v>10</v>
      </c>
      <c r="F386" s="6" t="s">
        <v>19</v>
      </c>
      <c r="G386" s="8" t="s">
        <v>33</v>
      </c>
      <c r="H386" s="5" t="str">
        <f>IFERROR(__xludf.DUMMYFUNCTION("REGEXEXTRACT(B386, ""\((\d+)\)"")"),"3")</f>
        <v>3</v>
      </c>
      <c r="I386" s="5"/>
      <c r="J386" s="5"/>
      <c r="K386" s="5"/>
      <c r="L386" s="5"/>
    </row>
    <row r="387" ht="35.25" customHeight="1">
      <c r="A387" s="5">
        <v>386.0</v>
      </c>
      <c r="B387" s="6" t="s">
        <v>783</v>
      </c>
      <c r="C387" s="6" t="str">
        <f>IFERROR(__xludf.DUMMYFUNCTION("REGEXEXTRACT(B387, ""^[A-Z0-9-]+"")"),"EE-514")</f>
        <v>EE-514</v>
      </c>
      <c r="D387" s="6" t="s">
        <v>785</v>
      </c>
      <c r="E387" s="15" t="s">
        <v>10</v>
      </c>
      <c r="F387" s="6" t="s">
        <v>19</v>
      </c>
      <c r="G387" s="8" t="s">
        <v>36</v>
      </c>
      <c r="H387" s="5" t="str">
        <f>IFERROR(__xludf.DUMMYFUNCTION("REGEXEXTRACT(B387, ""\((\d+)\)"")"),"3")</f>
        <v>3</v>
      </c>
      <c r="I387" s="5"/>
      <c r="J387" s="5"/>
      <c r="K387" s="5"/>
      <c r="L387" s="5"/>
    </row>
    <row r="388" ht="35.25" customHeight="1">
      <c r="A388" s="5">
        <v>387.0</v>
      </c>
      <c r="B388" s="6" t="s">
        <v>786</v>
      </c>
      <c r="C388" s="6" t="str">
        <f>IFERROR(__xludf.DUMMYFUNCTION("REGEXEXTRACT(B388, ""^[A-Z0-9-]+"")"),"EE-515")</f>
        <v>EE-515</v>
      </c>
      <c r="D388" s="6" t="s">
        <v>787</v>
      </c>
      <c r="E388" s="15" t="s">
        <v>10</v>
      </c>
      <c r="F388" s="6" t="s">
        <v>435</v>
      </c>
      <c r="G388" s="8" t="s">
        <v>39</v>
      </c>
      <c r="H388" s="5" t="str">
        <f>IFERROR(__xludf.DUMMYFUNCTION("REGEXEXTRACT(B388, ""\((\d+)\)"")"),"4")</f>
        <v>4</v>
      </c>
      <c r="I388" s="5"/>
      <c r="J388" s="5"/>
      <c r="K388" s="5"/>
      <c r="L388" s="5"/>
    </row>
    <row r="389" ht="35.25" customHeight="1">
      <c r="A389" s="5">
        <v>388.0</v>
      </c>
      <c r="B389" s="6" t="s">
        <v>788</v>
      </c>
      <c r="C389" s="6" t="str">
        <f>IFERROR(__xludf.DUMMYFUNCTION("REGEXEXTRACT(B389, ""^[A-Z0-9-]+"")"),"EE-516")</f>
        <v>EE-516</v>
      </c>
      <c r="D389" s="6" t="s">
        <v>789</v>
      </c>
      <c r="E389" s="15" t="s">
        <v>10</v>
      </c>
      <c r="F389" s="6" t="s">
        <v>790</v>
      </c>
      <c r="G389" s="8" t="s">
        <v>12</v>
      </c>
      <c r="H389" s="5" t="str">
        <f>IFERROR(__xludf.DUMMYFUNCTION("REGEXEXTRACT(B389, ""\((\d+)\)"")"),"4")</f>
        <v>4</v>
      </c>
      <c r="I389" s="5"/>
      <c r="J389" s="5"/>
      <c r="K389" s="5"/>
      <c r="L389" s="5"/>
    </row>
    <row r="390" ht="35.25" customHeight="1">
      <c r="A390" s="5">
        <v>389.0</v>
      </c>
      <c r="B390" s="6" t="s">
        <v>791</v>
      </c>
      <c r="C390" s="6" t="str">
        <f>IFERROR(__xludf.DUMMYFUNCTION("REGEXEXTRACT(B390, ""^[A-Z0-9-]+"")"),"EE-517")</f>
        <v>EE-517</v>
      </c>
      <c r="D390" s="6" t="s">
        <v>792</v>
      </c>
      <c r="E390" s="15" t="s">
        <v>10</v>
      </c>
      <c r="F390" s="6" t="s">
        <v>19</v>
      </c>
      <c r="G390" s="8" t="s">
        <v>16</v>
      </c>
      <c r="H390" s="5" t="str">
        <f>IFERROR(__xludf.DUMMYFUNCTION("REGEXEXTRACT(B390, ""\((\d+)\)"")"),"3")</f>
        <v>3</v>
      </c>
      <c r="I390" s="5"/>
      <c r="J390" s="5"/>
      <c r="K390" s="5"/>
      <c r="L390" s="5"/>
    </row>
    <row r="391" ht="35.25" customHeight="1">
      <c r="A391" s="5">
        <v>390.0</v>
      </c>
      <c r="B391" s="6" t="s">
        <v>793</v>
      </c>
      <c r="C391" s="6" t="str">
        <f>IFERROR(__xludf.DUMMYFUNCTION("REGEXEXTRACT(B391, ""^[A-Z0-9-]+"")"),"EE-518")</f>
        <v>EE-518</v>
      </c>
      <c r="D391" s="6" t="s">
        <v>794</v>
      </c>
      <c r="E391" s="15" t="s">
        <v>10</v>
      </c>
      <c r="F391" s="6" t="s">
        <v>19</v>
      </c>
      <c r="G391" s="8" t="s">
        <v>20</v>
      </c>
      <c r="H391" s="5" t="str">
        <f>IFERROR(__xludf.DUMMYFUNCTION("REGEXEXTRACT(B391, ""\((\d+)\)"")"),"3")</f>
        <v>3</v>
      </c>
      <c r="I391" s="5"/>
      <c r="J391" s="5"/>
      <c r="K391" s="5"/>
      <c r="L391" s="5"/>
    </row>
    <row r="392" ht="35.25" customHeight="1">
      <c r="A392" s="5">
        <v>391.0</v>
      </c>
      <c r="B392" s="6" t="s">
        <v>795</v>
      </c>
      <c r="C392" s="6" t="str">
        <f>IFERROR(__xludf.DUMMYFUNCTION("REGEXEXTRACT(B392, ""^[A-Z0-9-]+"")"),"EE-519P")</f>
        <v>EE-519P</v>
      </c>
      <c r="D392" s="6" t="s">
        <v>796</v>
      </c>
      <c r="E392" s="15" t="s">
        <v>10</v>
      </c>
      <c r="F392" s="6" t="s">
        <v>723</v>
      </c>
      <c r="G392" s="8" t="s">
        <v>24</v>
      </c>
      <c r="H392" s="5" t="str">
        <f>IFERROR(__xludf.DUMMYFUNCTION("REGEXEXTRACT(B392, ""\((\d+)\)"")"),"2")</f>
        <v>2</v>
      </c>
      <c r="I392" s="5"/>
      <c r="J392" s="5"/>
      <c r="K392" s="5"/>
      <c r="L392" s="5"/>
    </row>
    <row r="393" ht="35.25" customHeight="1">
      <c r="A393" s="5">
        <v>392.0</v>
      </c>
      <c r="B393" s="6" t="s">
        <v>797</v>
      </c>
      <c r="C393" s="6" t="str">
        <f>IFERROR(__xludf.DUMMYFUNCTION("REGEXEXTRACT(B393, ""^[A-Z0-9-]+"")"),"EE-520")</f>
        <v>EE-520</v>
      </c>
      <c r="D393" s="6" t="s">
        <v>798</v>
      </c>
      <c r="E393" s="5"/>
      <c r="F393" s="6" t="s">
        <v>19</v>
      </c>
      <c r="G393" s="8" t="s">
        <v>27</v>
      </c>
      <c r="H393" s="5" t="str">
        <f>IFERROR(__xludf.DUMMYFUNCTION("REGEXEXTRACT(B393, ""\((\d+)\)"")"),"3")</f>
        <v>3</v>
      </c>
      <c r="I393" s="5"/>
      <c r="J393" s="5"/>
      <c r="K393" s="5"/>
      <c r="L393" s="5"/>
    </row>
    <row r="394" ht="35.25" customHeight="1">
      <c r="A394" s="5">
        <v>393.0</v>
      </c>
      <c r="B394" s="6" t="s">
        <v>799</v>
      </c>
      <c r="C394" s="6" t="str">
        <f>IFERROR(__xludf.DUMMYFUNCTION("REGEXEXTRACT(B394, ""^[A-Z0-9-]+"")"),"EE")</f>
        <v>EE</v>
      </c>
      <c r="D394" s="6" t="s">
        <v>439</v>
      </c>
      <c r="E394" s="15" t="s">
        <v>10</v>
      </c>
      <c r="F394" s="6" t="s">
        <v>19</v>
      </c>
      <c r="G394" s="8" t="s">
        <v>30</v>
      </c>
      <c r="H394" s="5" t="str">
        <f>IFERROR(__xludf.DUMMYFUNCTION("REGEXEXTRACT(B394, ""\((\d+)\)"")"),"3")</f>
        <v>3</v>
      </c>
      <c r="I394" s="5"/>
      <c r="J394" s="5"/>
      <c r="K394" s="5"/>
      <c r="L394" s="5"/>
    </row>
    <row r="395" ht="35.25" customHeight="1">
      <c r="A395" s="5">
        <v>394.0</v>
      </c>
      <c r="B395" s="6" t="s">
        <v>800</v>
      </c>
      <c r="C395" s="6" t="str">
        <f>IFERROR(__xludf.DUMMYFUNCTION("REGEXEXTRACT(B395, ""^[A-Z0-9-]+"")"),"EE")</f>
        <v>EE</v>
      </c>
      <c r="D395" s="6" t="s">
        <v>801</v>
      </c>
      <c r="E395" s="15" t="s">
        <v>10</v>
      </c>
      <c r="F395" s="6" t="s">
        <v>15</v>
      </c>
      <c r="G395" s="8" t="s">
        <v>33</v>
      </c>
      <c r="H395" s="5" t="str">
        <f>IFERROR(__xludf.DUMMYFUNCTION("REGEXEXTRACT(B395, ""\((\d+)\)"")"),"4")</f>
        <v>4</v>
      </c>
      <c r="I395" s="5"/>
      <c r="J395" s="5"/>
      <c r="K395" s="5"/>
      <c r="L395" s="5"/>
    </row>
    <row r="396" ht="35.25" customHeight="1">
      <c r="A396" s="5">
        <v>395.0</v>
      </c>
      <c r="B396" s="6" t="s">
        <v>802</v>
      </c>
      <c r="C396" s="6" t="str">
        <f>IFERROR(__xludf.DUMMYFUNCTION("REGEXEXTRACT(B396, ""^[A-Z0-9-]+"")"),"EE")</f>
        <v>EE</v>
      </c>
      <c r="D396" s="6" t="s">
        <v>803</v>
      </c>
      <c r="E396" s="15" t="s">
        <v>10</v>
      </c>
      <c r="F396" s="6" t="s">
        <v>19</v>
      </c>
      <c r="G396" s="8" t="s">
        <v>36</v>
      </c>
      <c r="H396" s="5" t="str">
        <f>IFERROR(__xludf.DUMMYFUNCTION("REGEXEXTRACT(B396, ""\((\d+)\)"")"),"3")</f>
        <v>3</v>
      </c>
      <c r="I396" s="5"/>
      <c r="J396" s="5"/>
      <c r="K396" s="5"/>
      <c r="L396" s="5"/>
    </row>
    <row r="397" ht="35.25" customHeight="1">
      <c r="A397" s="5">
        <v>396.0</v>
      </c>
      <c r="B397" s="6" t="s">
        <v>804</v>
      </c>
      <c r="C397" s="6" t="str">
        <f>IFERROR(__xludf.DUMMYFUNCTION("REGEXEXTRACT(B397, ""^[A-Z0-9-]+"")"),"EE")</f>
        <v>EE</v>
      </c>
      <c r="D397" s="6" t="s">
        <v>805</v>
      </c>
      <c r="E397" s="15" t="s">
        <v>10</v>
      </c>
      <c r="F397" s="6" t="s">
        <v>19</v>
      </c>
      <c r="G397" s="8" t="s">
        <v>39</v>
      </c>
      <c r="H397" s="5" t="str">
        <f>IFERROR(__xludf.DUMMYFUNCTION("REGEXEXTRACT(B397, ""\((\d+)\)"")"),"3")</f>
        <v>3</v>
      </c>
      <c r="I397" s="5"/>
      <c r="J397" s="5"/>
      <c r="K397" s="5"/>
      <c r="L397" s="5"/>
    </row>
    <row r="398" ht="35.25" customHeight="1">
      <c r="A398" s="5">
        <v>397.0</v>
      </c>
      <c r="B398" s="6" t="s">
        <v>806</v>
      </c>
      <c r="C398" s="6" t="str">
        <f>IFERROR(__xludf.DUMMYFUNCTION("REGEXEXTRACT(B398, ""^[A-Z0-9-]+"")"),"EE")</f>
        <v>EE</v>
      </c>
      <c r="D398" s="6" t="s">
        <v>807</v>
      </c>
      <c r="E398" s="15" t="s">
        <v>10</v>
      </c>
      <c r="F398" s="6" t="s">
        <v>19</v>
      </c>
      <c r="G398" s="8" t="s">
        <v>12</v>
      </c>
      <c r="H398" s="5" t="str">
        <f>IFERROR(__xludf.DUMMYFUNCTION("REGEXEXTRACT(B398, ""\((\d+)\)"")"),"3")</f>
        <v>3</v>
      </c>
      <c r="I398" s="5"/>
      <c r="J398" s="5"/>
      <c r="K398" s="5"/>
      <c r="L398" s="5"/>
    </row>
    <row r="399" ht="35.25" customHeight="1">
      <c r="A399" s="5">
        <v>398.0</v>
      </c>
      <c r="B399" s="6" t="s">
        <v>808</v>
      </c>
      <c r="C399" s="6" t="str">
        <f>IFERROR(__xludf.DUMMYFUNCTION("REGEXEXTRACT(B399, ""^[A-Z0-9-]+"")"),"EE")</f>
        <v>EE</v>
      </c>
      <c r="D399" s="6" t="s">
        <v>809</v>
      </c>
      <c r="E399" s="15" t="s">
        <v>10</v>
      </c>
      <c r="F399" s="6" t="s">
        <v>385</v>
      </c>
      <c r="G399" s="8" t="s">
        <v>16</v>
      </c>
      <c r="H399" s="5" t="str">
        <f>IFERROR(__xludf.DUMMYFUNCTION("REGEXEXTRACT(B399, ""\((\d+)\)"")"),"2")</f>
        <v>2</v>
      </c>
      <c r="I399" s="5"/>
      <c r="J399" s="5"/>
      <c r="K399" s="5"/>
      <c r="L399" s="5"/>
    </row>
    <row r="400" ht="35.25" customHeight="1">
      <c r="A400" s="5">
        <v>399.0</v>
      </c>
      <c r="B400" s="6" t="s">
        <v>810</v>
      </c>
      <c r="C400" s="6" t="str">
        <f>IFERROR(__xludf.DUMMYFUNCTION("REGEXEXTRACT(B400, ""^[A-Z0-9-]+"")"),"EE")</f>
        <v>EE</v>
      </c>
      <c r="D400" s="6" t="s">
        <v>811</v>
      </c>
      <c r="E400" s="15" t="s">
        <v>10</v>
      </c>
      <c r="F400" s="6" t="s">
        <v>19</v>
      </c>
      <c r="G400" s="8" t="s">
        <v>20</v>
      </c>
      <c r="H400" s="5" t="str">
        <f>IFERROR(__xludf.DUMMYFUNCTION("REGEXEXTRACT(B400, ""\((\d+)\)"")"),"3")</f>
        <v>3</v>
      </c>
      <c r="I400" s="5"/>
      <c r="J400" s="5"/>
      <c r="K400" s="5"/>
      <c r="L400" s="5"/>
    </row>
    <row r="401" ht="35.25" customHeight="1">
      <c r="A401" s="5">
        <v>400.0</v>
      </c>
      <c r="B401" s="6" t="s">
        <v>810</v>
      </c>
      <c r="C401" s="6" t="str">
        <f>IFERROR(__xludf.DUMMYFUNCTION("REGEXEXTRACT(B401, ""^[A-Z0-9-]+"")"),"EE")</f>
        <v>EE</v>
      </c>
      <c r="D401" s="6" t="s">
        <v>811</v>
      </c>
      <c r="E401" s="15" t="s">
        <v>10</v>
      </c>
      <c r="F401" s="6" t="s">
        <v>23</v>
      </c>
      <c r="G401" s="8" t="s">
        <v>24</v>
      </c>
      <c r="H401" s="5" t="str">
        <f>IFERROR(__xludf.DUMMYFUNCTION("REGEXEXTRACT(B401, ""\((\d+)\)"")"),"3")</f>
        <v>3</v>
      </c>
      <c r="I401" s="5"/>
      <c r="J401" s="5"/>
      <c r="K401" s="5"/>
      <c r="L401" s="5"/>
    </row>
    <row r="402" ht="35.25" customHeight="1">
      <c r="A402" s="5">
        <v>401.0</v>
      </c>
      <c r="B402" s="6" t="s">
        <v>812</v>
      </c>
      <c r="C402" s="6" t="str">
        <f>IFERROR(__xludf.DUMMYFUNCTION("REGEXEXTRACT(B402, ""^[A-Z0-9-]+"")"),"EE")</f>
        <v>EE</v>
      </c>
      <c r="D402" s="6" t="s">
        <v>813</v>
      </c>
      <c r="E402" s="15" t="s">
        <v>10</v>
      </c>
      <c r="F402" s="6" t="s">
        <v>15</v>
      </c>
      <c r="G402" s="8" t="s">
        <v>27</v>
      </c>
      <c r="H402" s="5" t="str">
        <f>IFERROR(__xludf.DUMMYFUNCTION("REGEXEXTRACT(B402, ""\((\d+)\)"")"),"4")</f>
        <v>4</v>
      </c>
      <c r="I402" s="5"/>
      <c r="J402" s="5"/>
      <c r="K402" s="5"/>
      <c r="L402" s="5"/>
    </row>
    <row r="403" ht="35.25" customHeight="1">
      <c r="A403" s="5">
        <v>402.0</v>
      </c>
      <c r="B403" s="6" t="s">
        <v>814</v>
      </c>
      <c r="C403" s="6" t="str">
        <f>IFERROR(__xludf.DUMMYFUNCTION("REGEXEXTRACT(B403, ""^[A-Z0-9-]+"")"),"EE")</f>
        <v>EE</v>
      </c>
      <c r="D403" s="6" t="s">
        <v>815</v>
      </c>
      <c r="E403" s="15" t="s">
        <v>10</v>
      </c>
      <c r="F403" s="6" t="s">
        <v>19</v>
      </c>
      <c r="G403" s="8" t="s">
        <v>30</v>
      </c>
      <c r="H403" s="5" t="str">
        <f>IFERROR(__xludf.DUMMYFUNCTION("REGEXEXTRACT(B403, ""\((\d+)\)"")"),"3")</f>
        <v>3</v>
      </c>
      <c r="I403" s="5"/>
      <c r="J403" s="5"/>
      <c r="K403" s="5"/>
      <c r="L403" s="5"/>
    </row>
    <row r="404" ht="35.25" customHeight="1">
      <c r="A404" s="5">
        <v>403.0</v>
      </c>
      <c r="B404" s="6" t="s">
        <v>814</v>
      </c>
      <c r="C404" s="6" t="str">
        <f>IFERROR(__xludf.DUMMYFUNCTION("REGEXEXTRACT(B404, ""^[A-Z0-9-]+"")"),"EE")</f>
        <v>EE</v>
      </c>
      <c r="D404" s="6" t="s">
        <v>816</v>
      </c>
      <c r="E404" s="7" t="s">
        <v>10</v>
      </c>
      <c r="F404" s="6" t="s">
        <v>23</v>
      </c>
      <c r="G404" s="8" t="s">
        <v>33</v>
      </c>
      <c r="H404" s="5" t="str">
        <f>IFERROR(__xludf.DUMMYFUNCTION("REGEXEXTRACT(B404, ""\((\d+)\)"")"),"3")</f>
        <v>3</v>
      </c>
      <c r="I404" s="5"/>
      <c r="J404" s="5"/>
      <c r="K404" s="5"/>
      <c r="L404" s="5"/>
    </row>
    <row r="405" ht="35.25" customHeight="1">
      <c r="A405" s="5">
        <v>404.0</v>
      </c>
      <c r="B405" s="6" t="s">
        <v>817</v>
      </c>
      <c r="C405" s="6" t="str">
        <f>IFERROR(__xludf.DUMMYFUNCTION("REGEXEXTRACT(B405, ""^[A-Z0-9-]+"")"),"EE")</f>
        <v>EE</v>
      </c>
      <c r="D405" s="6" t="s">
        <v>816</v>
      </c>
      <c r="E405" s="7" t="s">
        <v>10</v>
      </c>
      <c r="F405" s="6" t="s">
        <v>19</v>
      </c>
      <c r="G405" s="8" t="s">
        <v>36</v>
      </c>
      <c r="H405" s="5" t="str">
        <f>IFERROR(__xludf.DUMMYFUNCTION("REGEXEXTRACT(B405, ""\((\d+)\)"")"),"3")</f>
        <v>3</v>
      </c>
      <c r="I405" s="5"/>
      <c r="J405" s="5"/>
      <c r="K405" s="5"/>
      <c r="L405" s="5"/>
    </row>
    <row r="406" ht="35.25" customHeight="1">
      <c r="A406" s="5">
        <v>405.0</v>
      </c>
      <c r="B406" s="6" t="s">
        <v>818</v>
      </c>
      <c r="C406" s="6" t="str">
        <f>IFERROR(__xludf.DUMMYFUNCTION("REGEXEXTRACT(B406, ""^[A-Z0-9-]+"")"),"EE")</f>
        <v>EE</v>
      </c>
      <c r="D406" s="6" t="s">
        <v>819</v>
      </c>
      <c r="E406" s="7" t="s">
        <v>10</v>
      </c>
      <c r="F406" s="6" t="s">
        <v>19</v>
      </c>
      <c r="G406" s="8" t="s">
        <v>39</v>
      </c>
      <c r="H406" s="5" t="str">
        <f>IFERROR(__xludf.DUMMYFUNCTION("REGEXEXTRACT(B406, ""\((\d+)\)"")"),"3")</f>
        <v>3</v>
      </c>
      <c r="I406" s="5"/>
      <c r="J406" s="5"/>
      <c r="K406" s="5"/>
      <c r="L406" s="5"/>
    </row>
    <row r="407" ht="35.25" customHeight="1">
      <c r="A407" s="5">
        <v>406.0</v>
      </c>
      <c r="B407" s="6" t="s">
        <v>820</v>
      </c>
      <c r="C407" s="6" t="str">
        <f>IFERROR(__xludf.DUMMYFUNCTION("REGEXEXTRACT(B407, ""^[A-Z0-9-]+"")"),"EE")</f>
        <v>EE</v>
      </c>
      <c r="D407" s="6" t="s">
        <v>821</v>
      </c>
      <c r="E407" s="7" t="s">
        <v>10</v>
      </c>
      <c r="F407" s="6" t="s">
        <v>331</v>
      </c>
      <c r="G407" s="8" t="s">
        <v>12</v>
      </c>
      <c r="H407" s="5" t="str">
        <f>IFERROR(__xludf.DUMMYFUNCTION("REGEXEXTRACT(B407, ""\((\d+)\)"")"),"2")</f>
        <v>2</v>
      </c>
      <c r="I407" s="5"/>
      <c r="J407" s="5"/>
      <c r="K407" s="5"/>
      <c r="L407" s="5"/>
    </row>
    <row r="408" ht="35.25" customHeight="1">
      <c r="A408" s="5">
        <v>407.0</v>
      </c>
      <c r="B408" s="6" t="s">
        <v>822</v>
      </c>
      <c r="C408" s="6" t="str">
        <f>IFERROR(__xludf.DUMMYFUNCTION("REGEXEXTRACT(B408, ""^[A-Z0-9-]+"")"),"EE")</f>
        <v>EE</v>
      </c>
      <c r="D408" s="6" t="s">
        <v>485</v>
      </c>
      <c r="E408" s="7" t="s">
        <v>10</v>
      </c>
      <c r="F408" s="6" t="s">
        <v>19</v>
      </c>
      <c r="G408" s="8" t="s">
        <v>16</v>
      </c>
      <c r="H408" s="5" t="str">
        <f>IFERROR(__xludf.DUMMYFUNCTION("REGEXEXTRACT(B408, ""\((\d+)\)"")"),"3")</f>
        <v>3</v>
      </c>
      <c r="I408" s="5"/>
      <c r="J408" s="5"/>
      <c r="K408" s="5"/>
      <c r="L408" s="5"/>
    </row>
    <row r="409" ht="35.25" customHeight="1">
      <c r="A409" s="5">
        <v>408.0</v>
      </c>
      <c r="B409" s="6" t="s">
        <v>823</v>
      </c>
      <c r="C409" s="6" t="str">
        <f>IFERROR(__xludf.DUMMYFUNCTION("REGEXEXTRACT(B409, ""^[A-Z0-9-]+"")"),"EE")</f>
        <v>EE</v>
      </c>
      <c r="D409" s="6" t="s">
        <v>824</v>
      </c>
      <c r="E409" s="7" t="s">
        <v>10</v>
      </c>
      <c r="F409" s="6" t="s">
        <v>331</v>
      </c>
      <c r="G409" s="8" t="s">
        <v>20</v>
      </c>
      <c r="H409" s="5" t="str">
        <f>IFERROR(__xludf.DUMMYFUNCTION("REGEXEXTRACT(B409, ""\((\d+)\)"")"),"2")</f>
        <v>2</v>
      </c>
      <c r="I409" s="5"/>
      <c r="J409" s="5"/>
      <c r="K409" s="5"/>
      <c r="L409" s="5"/>
    </row>
    <row r="410" ht="35.25" customHeight="1">
      <c r="A410" s="5">
        <v>409.0</v>
      </c>
      <c r="B410" s="6" t="s">
        <v>825</v>
      </c>
      <c r="C410" s="6" t="str">
        <f>IFERROR(__xludf.DUMMYFUNCTION("REGEXEXTRACT(B410, ""^[A-Z0-9-]+"")"),"EE")</f>
        <v>EE</v>
      </c>
      <c r="D410" s="6" t="s">
        <v>826</v>
      </c>
      <c r="E410" s="7" t="s">
        <v>10</v>
      </c>
      <c r="F410" s="6" t="s">
        <v>23</v>
      </c>
      <c r="G410" s="8" t="s">
        <v>24</v>
      </c>
      <c r="H410" s="5" t="str">
        <f>IFERROR(__xludf.DUMMYFUNCTION("REGEXEXTRACT(B410, ""\((\d+)\)"")"),"3")</f>
        <v>3</v>
      </c>
      <c r="I410" s="5"/>
      <c r="J410" s="5"/>
      <c r="K410" s="5"/>
      <c r="L410" s="5"/>
    </row>
    <row r="411" ht="35.25" customHeight="1">
      <c r="A411" s="5">
        <v>410.0</v>
      </c>
      <c r="B411" s="6" t="s">
        <v>827</v>
      </c>
      <c r="C411" s="6" t="str">
        <f>IFERROR(__xludf.DUMMYFUNCTION("REGEXEXTRACT(B411, ""^[A-Z0-9-]+"")"),"EE")</f>
        <v>EE</v>
      </c>
      <c r="D411" s="6" t="s">
        <v>828</v>
      </c>
      <c r="E411" s="7" t="s">
        <v>10</v>
      </c>
      <c r="F411" s="6" t="s">
        <v>19</v>
      </c>
      <c r="G411" s="8" t="s">
        <v>27</v>
      </c>
      <c r="H411" s="5" t="str">
        <f>IFERROR(__xludf.DUMMYFUNCTION("REGEXEXTRACT(B411, ""\((\d+)\)"")"),"3")</f>
        <v>3</v>
      </c>
      <c r="I411" s="5"/>
      <c r="J411" s="5"/>
      <c r="K411" s="5"/>
      <c r="L411" s="5"/>
    </row>
    <row r="412" ht="35.25" customHeight="1">
      <c r="A412" s="5">
        <v>411.0</v>
      </c>
      <c r="B412" s="6" t="s">
        <v>829</v>
      </c>
      <c r="C412" s="6" t="str">
        <f>IFERROR(__xludf.DUMMYFUNCTION("REGEXEXTRACT(B412, ""^[A-Z0-9-]+"")"),"EE")</f>
        <v>EE</v>
      </c>
      <c r="D412" s="6" t="s">
        <v>830</v>
      </c>
      <c r="E412" s="7" t="s">
        <v>10</v>
      </c>
      <c r="F412" s="6" t="s">
        <v>19</v>
      </c>
      <c r="G412" s="8" t="s">
        <v>30</v>
      </c>
      <c r="H412" s="5" t="str">
        <f>IFERROR(__xludf.DUMMYFUNCTION("REGEXEXTRACT(B412, ""\((\d+)\)"")"),"3")</f>
        <v>3</v>
      </c>
      <c r="I412" s="5"/>
      <c r="J412" s="5"/>
      <c r="K412" s="5"/>
      <c r="L412" s="5"/>
    </row>
    <row r="413" ht="35.25" customHeight="1">
      <c r="A413" s="5">
        <v>412.0</v>
      </c>
      <c r="B413" s="6" t="s">
        <v>831</v>
      </c>
      <c r="C413" s="6" t="str">
        <f>IFERROR(__xludf.DUMMYFUNCTION("REGEXEXTRACT(B413, ""^[A-Z0-9-]+"")"),"EE-541")</f>
        <v>EE-541</v>
      </c>
      <c r="D413" s="6" t="s">
        <v>832</v>
      </c>
      <c r="E413" s="7" t="s">
        <v>10</v>
      </c>
      <c r="F413" s="6" t="s">
        <v>15</v>
      </c>
      <c r="G413" s="8" t="s">
        <v>33</v>
      </c>
      <c r="H413" s="5" t="str">
        <f>IFERROR(__xludf.DUMMYFUNCTION("REGEXEXTRACT(B413, ""\((\d+)\)"")"),"4")</f>
        <v>4</v>
      </c>
      <c r="I413" s="5"/>
      <c r="J413" s="5"/>
      <c r="K413" s="5"/>
      <c r="L413" s="5"/>
    </row>
    <row r="414" ht="35.25" customHeight="1">
      <c r="A414" s="5">
        <v>413.0</v>
      </c>
      <c r="B414" s="6" t="s">
        <v>833</v>
      </c>
      <c r="C414" s="6" t="str">
        <f>IFERROR(__xludf.DUMMYFUNCTION("REGEXEXTRACT(B414, ""^[A-Z0-9-]+"")"),"EE-542")</f>
        <v>EE-542</v>
      </c>
      <c r="D414" s="6" t="s">
        <v>834</v>
      </c>
      <c r="E414" s="7" t="s">
        <v>10</v>
      </c>
      <c r="F414" s="6" t="s">
        <v>19</v>
      </c>
      <c r="G414" s="8" t="s">
        <v>36</v>
      </c>
      <c r="H414" s="5" t="str">
        <f>IFERROR(__xludf.DUMMYFUNCTION("REGEXEXTRACT(B414, ""\((\d+)\)"")"),"3")</f>
        <v>3</v>
      </c>
      <c r="I414" s="5"/>
      <c r="J414" s="5"/>
      <c r="K414" s="5"/>
      <c r="L414" s="5"/>
    </row>
    <row r="415" ht="35.25" customHeight="1">
      <c r="A415" s="5">
        <v>414.0</v>
      </c>
      <c r="B415" s="6" t="s">
        <v>835</v>
      </c>
      <c r="C415" s="6" t="str">
        <f>IFERROR(__xludf.DUMMYFUNCTION("REGEXEXTRACT(B415, ""^[A-Z0-9-]+"")"),"EE-543")</f>
        <v>EE-543</v>
      </c>
      <c r="D415" s="6" t="s">
        <v>49</v>
      </c>
      <c r="E415" s="7" t="s">
        <v>10</v>
      </c>
      <c r="F415" s="6" t="s">
        <v>19</v>
      </c>
      <c r="G415" s="8" t="s">
        <v>39</v>
      </c>
      <c r="H415" s="5" t="str">
        <f>IFERROR(__xludf.DUMMYFUNCTION("REGEXEXTRACT(B415, ""\((\d+)\)"")"),"3")</f>
        <v>3</v>
      </c>
      <c r="I415" s="5"/>
      <c r="J415" s="5"/>
      <c r="K415" s="5"/>
      <c r="L415" s="5"/>
    </row>
    <row r="416" ht="35.25" customHeight="1">
      <c r="A416" s="5">
        <v>415.0</v>
      </c>
      <c r="B416" s="6" t="s">
        <v>836</v>
      </c>
      <c r="C416" s="6" t="str">
        <f>IFERROR(__xludf.DUMMYFUNCTION("REGEXEXTRACT(B416, ""^[A-Z0-9-]+"")"),"EE-551")</f>
        <v>EE-551</v>
      </c>
      <c r="D416" s="6" t="s">
        <v>837</v>
      </c>
      <c r="E416" s="7" t="s">
        <v>10</v>
      </c>
      <c r="F416" s="6" t="s">
        <v>237</v>
      </c>
      <c r="G416" s="8" t="s">
        <v>12</v>
      </c>
      <c r="H416" s="5" t="str">
        <f>IFERROR(__xludf.DUMMYFUNCTION("REGEXEXTRACT(B416, ""\((\d+)\)"")"),"3")</f>
        <v>3</v>
      </c>
      <c r="I416" s="5"/>
      <c r="J416" s="5"/>
      <c r="K416" s="5"/>
      <c r="L416" s="5"/>
    </row>
    <row r="417" ht="35.25" customHeight="1">
      <c r="A417" s="5">
        <v>416.0</v>
      </c>
      <c r="B417" s="22" t="s">
        <v>838</v>
      </c>
      <c r="C417" s="6" t="str">
        <f>IFERROR(__xludf.DUMMYFUNCTION("REGEXEXTRACT(B417, ""^[A-Z0-9-]+"")"),"EE-552")</f>
        <v>EE-552</v>
      </c>
      <c r="D417" s="22" t="s">
        <v>839</v>
      </c>
      <c r="E417" s="7" t="s">
        <v>10</v>
      </c>
      <c r="F417" s="22" t="s">
        <v>11</v>
      </c>
      <c r="G417" s="8" t="s">
        <v>16</v>
      </c>
      <c r="H417" s="5" t="str">
        <f>IFERROR(__xludf.DUMMYFUNCTION("REGEXEXTRACT(B417, ""\((\d+)\)"")"),"4")</f>
        <v>4</v>
      </c>
      <c r="I417" s="5"/>
      <c r="J417" s="5"/>
      <c r="K417" s="5"/>
      <c r="L417" s="5"/>
    </row>
    <row r="418" ht="35.25" customHeight="1">
      <c r="A418" s="5">
        <v>417.0</v>
      </c>
      <c r="B418" s="22" t="s">
        <v>840</v>
      </c>
      <c r="C418" s="6" t="str">
        <f>IFERROR(__xludf.DUMMYFUNCTION("REGEXEXTRACT(B418, ""^[A-Z0-9-]+"")"),"EE-553")</f>
        <v>EE-553</v>
      </c>
      <c r="D418" s="22" t="s">
        <v>841</v>
      </c>
      <c r="E418" s="7" t="s">
        <v>10</v>
      </c>
      <c r="F418" s="22" t="s">
        <v>15</v>
      </c>
      <c r="G418" s="8" t="s">
        <v>20</v>
      </c>
      <c r="H418" s="5" t="str">
        <f>IFERROR(__xludf.DUMMYFUNCTION("REGEXEXTRACT(B418, ""\((\d+)\)"")"),"4")</f>
        <v>4</v>
      </c>
      <c r="I418" s="5"/>
      <c r="J418" s="5"/>
      <c r="K418" s="5"/>
      <c r="L418" s="5"/>
    </row>
    <row r="419" ht="35.25" customHeight="1">
      <c r="A419" s="5">
        <v>418.0</v>
      </c>
      <c r="B419" s="22" t="s">
        <v>842</v>
      </c>
      <c r="C419" s="6" t="str">
        <f>IFERROR(__xludf.DUMMYFUNCTION("REGEXEXTRACT(B419, ""^[A-Z0-9-]+"")"),"EE-554")</f>
        <v>EE-554</v>
      </c>
      <c r="D419" s="22" t="s">
        <v>843</v>
      </c>
      <c r="E419" s="7" t="s">
        <v>10</v>
      </c>
      <c r="F419" s="22" t="s">
        <v>19</v>
      </c>
      <c r="G419" s="8" t="s">
        <v>24</v>
      </c>
      <c r="H419" s="5" t="str">
        <f>IFERROR(__xludf.DUMMYFUNCTION("REGEXEXTRACT(B419, ""\((\d+)\)"")"),"3")</f>
        <v>3</v>
      </c>
      <c r="I419" s="5"/>
      <c r="J419" s="5"/>
      <c r="K419" s="5"/>
      <c r="L419" s="5"/>
    </row>
    <row r="420" ht="35.25" customHeight="1">
      <c r="A420" s="5">
        <v>419.0</v>
      </c>
      <c r="B420" s="22" t="s">
        <v>844</v>
      </c>
      <c r="C420" s="6" t="str">
        <f>IFERROR(__xludf.DUMMYFUNCTION("REGEXEXTRACT(B420, ""^[A-Z0-9-]+"")"),"EE-555")</f>
        <v>EE-555</v>
      </c>
      <c r="D420" s="22" t="s">
        <v>845</v>
      </c>
      <c r="E420" s="7" t="s">
        <v>10</v>
      </c>
      <c r="F420" s="22" t="s">
        <v>19</v>
      </c>
      <c r="G420" s="8" t="s">
        <v>27</v>
      </c>
      <c r="H420" s="5" t="str">
        <f>IFERROR(__xludf.DUMMYFUNCTION("REGEXEXTRACT(B420, ""\((\d+)\)"")"),"3")</f>
        <v>3</v>
      </c>
      <c r="I420" s="5"/>
      <c r="J420" s="5"/>
      <c r="K420" s="5"/>
      <c r="L420" s="5"/>
    </row>
    <row r="421" ht="35.25" customHeight="1">
      <c r="A421" s="5">
        <v>420.0</v>
      </c>
      <c r="B421" s="22" t="s">
        <v>846</v>
      </c>
      <c r="C421" s="6" t="str">
        <f>IFERROR(__xludf.DUMMYFUNCTION("REGEXEXTRACT(B421, ""^[A-Z0-9-]+"")"),"EE-556")</f>
        <v>EE-556</v>
      </c>
      <c r="D421" s="22" t="s">
        <v>847</v>
      </c>
      <c r="E421" s="7" t="s">
        <v>10</v>
      </c>
      <c r="F421" s="22" t="s">
        <v>77</v>
      </c>
      <c r="G421" s="8" t="s">
        <v>30</v>
      </c>
      <c r="H421" s="5" t="str">
        <f>IFERROR(__xludf.DUMMYFUNCTION("REGEXEXTRACT(B421, ""\((\d+)\)"")"),"1")</f>
        <v>1</v>
      </c>
      <c r="I421" s="5"/>
      <c r="J421" s="5"/>
      <c r="K421" s="5"/>
      <c r="L421" s="5"/>
    </row>
    <row r="422" ht="35.25" customHeight="1">
      <c r="A422" s="5">
        <v>421.0</v>
      </c>
      <c r="B422" s="14" t="s">
        <v>848</v>
      </c>
      <c r="C422" s="6" t="str">
        <f>IFERROR(__xludf.DUMMYFUNCTION("REGEXEXTRACT(B422, ""^[A-Z0-9-]+"")"),"EE-557")</f>
        <v>EE-557</v>
      </c>
      <c r="D422" s="22" t="s">
        <v>849</v>
      </c>
      <c r="E422" s="7" t="s">
        <v>10</v>
      </c>
      <c r="F422" s="22" t="s">
        <v>19</v>
      </c>
      <c r="G422" s="8" t="s">
        <v>33</v>
      </c>
      <c r="H422" s="5" t="str">
        <f>IFERROR(__xludf.DUMMYFUNCTION("REGEXEXTRACT(B422, ""\((\d+)\)"")"),"3")</f>
        <v>3</v>
      </c>
      <c r="I422" s="5"/>
      <c r="J422" s="5"/>
      <c r="K422" s="5"/>
      <c r="L422" s="5"/>
    </row>
    <row r="423" ht="35.25" customHeight="1">
      <c r="A423" s="5">
        <v>422.0</v>
      </c>
      <c r="B423" s="6" t="s">
        <v>850</v>
      </c>
      <c r="C423" s="6" t="str">
        <f>IFERROR(__xludf.DUMMYFUNCTION("REGEXEXTRACT(B423, ""^[A-Z0-9-]+"")"),"EE")</f>
        <v>EE</v>
      </c>
      <c r="D423" s="6" t="s">
        <v>851</v>
      </c>
      <c r="E423" s="7" t="s">
        <v>10</v>
      </c>
      <c r="F423" s="6" t="s">
        <v>15</v>
      </c>
      <c r="G423" s="8" t="s">
        <v>36</v>
      </c>
      <c r="H423" s="5" t="str">
        <f>IFERROR(__xludf.DUMMYFUNCTION("REGEXEXTRACT(B423, ""\((\d+)\)"")"),"4")</f>
        <v>4</v>
      </c>
      <c r="I423" s="5"/>
      <c r="J423" s="5"/>
      <c r="K423" s="5"/>
      <c r="L423" s="5"/>
    </row>
    <row r="424" ht="35.25" customHeight="1">
      <c r="A424" s="5">
        <v>423.0</v>
      </c>
      <c r="B424" s="22" t="s">
        <v>852</v>
      </c>
      <c r="C424" s="6" t="str">
        <f>IFERROR(__xludf.DUMMYFUNCTION("REGEXEXTRACT(B424, ""^[A-Z0-9-]+"")"),"EE-570")</f>
        <v>EE-570</v>
      </c>
      <c r="D424" s="22" t="s">
        <v>758</v>
      </c>
      <c r="E424" s="7" t="s">
        <v>10</v>
      </c>
      <c r="F424" s="22" t="s">
        <v>15</v>
      </c>
      <c r="G424" s="8" t="s">
        <v>39</v>
      </c>
      <c r="H424" s="5" t="str">
        <f>IFERROR(__xludf.DUMMYFUNCTION("REGEXEXTRACT(B424, ""\((\d+)\)"")"),"4")</f>
        <v>4</v>
      </c>
      <c r="I424" s="5"/>
      <c r="J424" s="5"/>
      <c r="K424" s="5"/>
      <c r="L424" s="5"/>
    </row>
    <row r="425" ht="35.25" customHeight="1">
      <c r="A425" s="5">
        <v>424.0</v>
      </c>
      <c r="B425" s="22" t="s">
        <v>853</v>
      </c>
      <c r="C425" s="6" t="str">
        <f>IFERROR(__xludf.DUMMYFUNCTION("REGEXEXTRACT(B425, ""^[A-Z0-9-]+"")"),"EE-574")</f>
        <v>EE-574</v>
      </c>
      <c r="D425" s="22" t="s">
        <v>854</v>
      </c>
      <c r="E425" s="7" t="s">
        <v>10</v>
      </c>
      <c r="F425" s="22" t="s">
        <v>19</v>
      </c>
      <c r="G425" s="8" t="s">
        <v>12</v>
      </c>
      <c r="H425" s="5" t="str">
        <f>IFERROR(__xludf.DUMMYFUNCTION("REGEXEXTRACT(B425, ""\((\d+)\)"")"),"3")</f>
        <v>3</v>
      </c>
      <c r="I425" s="5"/>
      <c r="J425" s="5"/>
      <c r="K425" s="5"/>
      <c r="L425" s="5"/>
    </row>
    <row r="426" ht="35.25" customHeight="1">
      <c r="A426" s="5">
        <v>425.0</v>
      </c>
      <c r="B426" s="22" t="s">
        <v>855</v>
      </c>
      <c r="C426" s="6" t="str">
        <f>IFERROR(__xludf.DUMMYFUNCTION("REGEXEXTRACT(B426, ""^[A-Z0-9-]+"")"),"EE-575")</f>
        <v>EE-575</v>
      </c>
      <c r="D426" s="22" t="s">
        <v>856</v>
      </c>
      <c r="E426" s="7" t="s">
        <v>10</v>
      </c>
      <c r="F426" s="22" t="s">
        <v>15</v>
      </c>
      <c r="G426" s="8" t="s">
        <v>16</v>
      </c>
      <c r="H426" s="5" t="str">
        <f>IFERROR(__xludf.DUMMYFUNCTION("REGEXEXTRACT(B426, ""\((\d+)\)"")"),"4")</f>
        <v>4</v>
      </c>
      <c r="I426" s="5"/>
      <c r="J426" s="5"/>
      <c r="K426" s="5"/>
      <c r="L426" s="5"/>
    </row>
    <row r="427" ht="35.25" customHeight="1">
      <c r="A427" s="5">
        <v>426.0</v>
      </c>
      <c r="B427" s="6" t="s">
        <v>857</v>
      </c>
      <c r="C427" s="6" t="str">
        <f>IFERROR(__xludf.DUMMYFUNCTION("REGEXEXTRACT(B427, ""^[A-Z0-9-]+"")"),"EE")</f>
        <v>EE</v>
      </c>
      <c r="D427" s="6" t="s">
        <v>858</v>
      </c>
      <c r="E427" s="7" t="s">
        <v>10</v>
      </c>
      <c r="F427" s="6" t="s">
        <v>19</v>
      </c>
      <c r="G427" s="8" t="s">
        <v>20</v>
      </c>
      <c r="H427" s="5" t="str">
        <f>IFERROR(__xludf.DUMMYFUNCTION("REGEXEXTRACT(B427, ""\((\d+)\)"")"),"3")</f>
        <v>3</v>
      </c>
      <c r="I427" s="5"/>
      <c r="J427" s="5"/>
      <c r="K427" s="5"/>
      <c r="L427" s="5"/>
    </row>
    <row r="428" ht="35.25" customHeight="1">
      <c r="A428" s="5">
        <v>427.0</v>
      </c>
      <c r="B428" s="22" t="s">
        <v>859</v>
      </c>
      <c r="C428" s="6" t="str">
        <f>IFERROR(__xludf.DUMMYFUNCTION("REGEXEXTRACT(B428, ""^[A-Z0-9-]+"")"),"EE-581")</f>
        <v>EE-581</v>
      </c>
      <c r="D428" s="22" t="s">
        <v>860</v>
      </c>
      <c r="E428" s="7" t="s">
        <v>10</v>
      </c>
      <c r="F428" s="22" t="s">
        <v>15</v>
      </c>
      <c r="G428" s="8" t="s">
        <v>24</v>
      </c>
      <c r="H428" s="5" t="str">
        <f>IFERROR(__xludf.DUMMYFUNCTION("REGEXEXTRACT(B428, ""\((\d+)\)"")"),"4")</f>
        <v>4</v>
      </c>
      <c r="I428" s="5"/>
      <c r="J428" s="5"/>
      <c r="K428" s="5"/>
      <c r="L428" s="5"/>
    </row>
    <row r="429" ht="35.25" customHeight="1">
      <c r="A429" s="5">
        <v>428.0</v>
      </c>
      <c r="B429" s="6" t="s">
        <v>861</v>
      </c>
      <c r="C429" s="6" t="str">
        <f>IFERROR(__xludf.DUMMYFUNCTION("REGEXEXTRACT(B429, ""^[A-Z0-9-]+"")"),"EE-582")</f>
        <v>EE-582</v>
      </c>
      <c r="D429" s="6" t="s">
        <v>862</v>
      </c>
      <c r="E429" s="7" t="s">
        <v>10</v>
      </c>
      <c r="F429" s="6" t="s">
        <v>19</v>
      </c>
      <c r="G429" s="8" t="s">
        <v>27</v>
      </c>
      <c r="H429" s="5" t="str">
        <f>IFERROR(__xludf.DUMMYFUNCTION("REGEXEXTRACT(B429, ""\((\d+)\)"")"),"3")</f>
        <v>3</v>
      </c>
      <c r="I429" s="5"/>
      <c r="J429" s="5"/>
      <c r="K429" s="5"/>
      <c r="L429" s="5"/>
    </row>
    <row r="430" ht="35.25" customHeight="1">
      <c r="A430" s="5">
        <v>429.0</v>
      </c>
      <c r="B430" s="6" t="s">
        <v>863</v>
      </c>
      <c r="C430" s="6" t="str">
        <f>IFERROR(__xludf.DUMMYFUNCTION("REGEXEXTRACT(B430, ""^[A-Z0-9-]+"")"),"EE-583")</f>
        <v>EE-583</v>
      </c>
      <c r="D430" s="6" t="s">
        <v>864</v>
      </c>
      <c r="E430" s="7" t="s">
        <v>10</v>
      </c>
      <c r="F430" s="6" t="s">
        <v>19</v>
      </c>
      <c r="G430" s="8" t="s">
        <v>30</v>
      </c>
      <c r="H430" s="5" t="str">
        <f>IFERROR(__xludf.DUMMYFUNCTION("REGEXEXTRACT(B430, ""\((\d+)\)"")"),"3")</f>
        <v>3</v>
      </c>
      <c r="I430" s="5"/>
      <c r="J430" s="5"/>
      <c r="K430" s="5"/>
      <c r="L430" s="5"/>
    </row>
    <row r="431" ht="35.25" customHeight="1">
      <c r="A431" s="5">
        <v>430.0</v>
      </c>
      <c r="B431" s="6" t="s">
        <v>865</v>
      </c>
      <c r="C431" s="6" t="str">
        <f>IFERROR(__xludf.DUMMYFUNCTION("REGEXEXTRACT(B431, ""^[A-Z0-9-]+"")"),"EE-584")</f>
        <v>EE-584</v>
      </c>
      <c r="D431" s="6" t="s">
        <v>866</v>
      </c>
      <c r="E431" s="7" t="s">
        <v>10</v>
      </c>
      <c r="F431" s="6" t="s">
        <v>19</v>
      </c>
      <c r="G431" s="8" t="s">
        <v>33</v>
      </c>
      <c r="H431" s="5" t="str">
        <f>IFERROR(__xludf.DUMMYFUNCTION("REGEXEXTRACT(B431, ""\((\d+)\)"")"),"3")</f>
        <v>3</v>
      </c>
      <c r="I431" s="5"/>
      <c r="J431" s="5"/>
      <c r="K431" s="5"/>
      <c r="L431" s="5"/>
    </row>
    <row r="432" ht="35.25" customHeight="1">
      <c r="A432" s="5">
        <v>431.0</v>
      </c>
      <c r="B432" s="14" t="s">
        <v>867</v>
      </c>
      <c r="C432" s="6" t="str">
        <f>IFERROR(__xludf.DUMMYFUNCTION("REGEXEXTRACT(B432, ""^[A-Z0-9-]+"")"),"EE-601")</f>
        <v>EE-601</v>
      </c>
      <c r="D432" s="14" t="s">
        <v>868</v>
      </c>
      <c r="E432" s="15" t="s">
        <v>10</v>
      </c>
      <c r="F432" s="14" t="s">
        <v>713</v>
      </c>
      <c r="G432" s="8" t="s">
        <v>36</v>
      </c>
      <c r="H432" s="5" t="str">
        <f>IFERROR(__xludf.DUMMYFUNCTION("REGEXEXTRACT(B432, ""\((\d+)\)"")"),"3")</f>
        <v>3</v>
      </c>
      <c r="I432" s="5"/>
      <c r="J432" s="5"/>
      <c r="K432" s="5"/>
      <c r="L432" s="5"/>
    </row>
    <row r="433" ht="35.25" customHeight="1">
      <c r="A433" s="5">
        <v>432.0</v>
      </c>
      <c r="B433" s="14" t="s">
        <v>869</v>
      </c>
      <c r="C433" s="6" t="str">
        <f>IFERROR(__xludf.DUMMYFUNCTION("REGEXEXTRACT(B433, ""^[A-Z0-9-]+"")"),"EE-602")</f>
        <v>EE-602</v>
      </c>
      <c r="D433" s="14" t="s">
        <v>870</v>
      </c>
      <c r="E433" s="15" t="s">
        <v>10</v>
      </c>
      <c r="F433" s="14" t="s">
        <v>713</v>
      </c>
      <c r="G433" s="8" t="s">
        <v>39</v>
      </c>
      <c r="H433" s="5" t="str">
        <f>IFERROR(__xludf.DUMMYFUNCTION("REGEXEXTRACT(B433, ""\((\d+)\)"")"),"3")</f>
        <v>3</v>
      </c>
      <c r="I433" s="5"/>
      <c r="J433" s="5"/>
      <c r="K433" s="5"/>
      <c r="L433" s="5"/>
    </row>
    <row r="434" ht="35.25" customHeight="1">
      <c r="A434" s="5">
        <v>433.0</v>
      </c>
      <c r="B434" s="14" t="s">
        <v>871</v>
      </c>
      <c r="C434" s="6" t="str">
        <f>IFERROR(__xludf.DUMMYFUNCTION("REGEXEXTRACT(B434, ""^[A-Z0-9-]+"")"),"EE-603")</f>
        <v>EE-603</v>
      </c>
      <c r="D434" s="14" t="s">
        <v>872</v>
      </c>
      <c r="E434" s="15" t="s">
        <v>10</v>
      </c>
      <c r="F434" s="6" t="s">
        <v>19</v>
      </c>
      <c r="G434" s="8" t="s">
        <v>12</v>
      </c>
      <c r="H434" s="5" t="str">
        <f>IFERROR(__xludf.DUMMYFUNCTION("REGEXEXTRACT(B434, ""\((\d+)\)"")"),"3")</f>
        <v>3</v>
      </c>
      <c r="I434" s="5"/>
      <c r="J434" s="5"/>
      <c r="K434" s="5"/>
      <c r="L434" s="5"/>
    </row>
    <row r="435" ht="35.25" customHeight="1">
      <c r="A435" s="5">
        <v>434.0</v>
      </c>
      <c r="B435" s="14" t="s">
        <v>873</v>
      </c>
      <c r="C435" s="6" t="str">
        <f>IFERROR(__xludf.DUMMYFUNCTION("REGEXEXTRACT(B435, ""^[A-Z0-9-]+"")"),"EE")</f>
        <v>EE</v>
      </c>
      <c r="D435" s="14" t="s">
        <v>874</v>
      </c>
      <c r="E435" s="15" t="s">
        <v>10</v>
      </c>
      <c r="F435" s="14" t="s">
        <v>82</v>
      </c>
      <c r="G435" s="8" t="s">
        <v>16</v>
      </c>
      <c r="H435" s="5" t="str">
        <f>IFERROR(__xludf.DUMMYFUNCTION("REGEXEXTRACT(B435, ""\((\d+)\)"")"),"1")</f>
        <v>1</v>
      </c>
      <c r="I435" s="5"/>
      <c r="J435" s="5"/>
      <c r="K435" s="5"/>
      <c r="L435" s="5"/>
    </row>
    <row r="436" ht="35.25" customHeight="1">
      <c r="A436" s="5">
        <v>435.0</v>
      </c>
      <c r="B436" s="14" t="s">
        <v>875</v>
      </c>
      <c r="C436" s="6" t="str">
        <f>IFERROR(__xludf.DUMMYFUNCTION("REGEXEXTRACT(B436, ""^[A-Z0-9-]+"")"),"EE-606")</f>
        <v>EE-606</v>
      </c>
      <c r="D436" s="14" t="s">
        <v>876</v>
      </c>
      <c r="E436" s="15" t="s">
        <v>10</v>
      </c>
      <c r="F436" s="14" t="s">
        <v>19</v>
      </c>
      <c r="G436" s="8" t="s">
        <v>20</v>
      </c>
      <c r="H436" s="5" t="str">
        <f>IFERROR(__xludf.DUMMYFUNCTION("REGEXEXTRACT(B436, ""\((\d+)\)"")"),"3")</f>
        <v>3</v>
      </c>
      <c r="I436" s="5"/>
      <c r="J436" s="5"/>
      <c r="K436" s="5"/>
      <c r="L436" s="5"/>
    </row>
    <row r="437" ht="35.25" customHeight="1">
      <c r="A437" s="5">
        <v>436.0</v>
      </c>
      <c r="B437" s="14" t="s">
        <v>877</v>
      </c>
      <c r="C437" s="6" t="str">
        <f>IFERROR(__xludf.DUMMYFUNCTION("REGEXEXTRACT(B437, ""^[A-Z0-9-]+"")"),"EE-608")</f>
        <v>EE-608</v>
      </c>
      <c r="D437" s="14" t="s">
        <v>878</v>
      </c>
      <c r="E437" s="15" t="s">
        <v>10</v>
      </c>
      <c r="F437" s="14" t="s">
        <v>15</v>
      </c>
      <c r="G437" s="8" t="s">
        <v>24</v>
      </c>
      <c r="H437" s="5" t="str">
        <f>IFERROR(__xludf.DUMMYFUNCTION("REGEXEXTRACT(B437, ""\((\d+)\)"")"),"4")</f>
        <v>4</v>
      </c>
      <c r="I437" s="5"/>
      <c r="J437" s="5"/>
      <c r="K437" s="5"/>
      <c r="L437" s="5"/>
    </row>
    <row r="438" ht="35.25" customHeight="1">
      <c r="A438" s="5">
        <v>437.0</v>
      </c>
      <c r="B438" s="14" t="s">
        <v>879</v>
      </c>
      <c r="C438" s="6" t="str">
        <f>IFERROR(__xludf.DUMMYFUNCTION("REGEXEXTRACT(B438, ""^[A-Z0-9-]+"")"),"EE-609")</f>
        <v>EE-609</v>
      </c>
      <c r="D438" s="14" t="s">
        <v>880</v>
      </c>
      <c r="E438" s="15" t="s">
        <v>10</v>
      </c>
      <c r="F438" s="14" t="s">
        <v>19</v>
      </c>
      <c r="G438" s="8" t="s">
        <v>27</v>
      </c>
      <c r="H438" s="5" t="str">
        <f>IFERROR(__xludf.DUMMYFUNCTION("REGEXEXTRACT(B438, ""\((\d+)\)"")"),"3")</f>
        <v>3</v>
      </c>
      <c r="I438" s="5"/>
      <c r="J438" s="5"/>
      <c r="K438" s="5"/>
      <c r="L438" s="5"/>
    </row>
    <row r="439" ht="35.25" customHeight="1">
      <c r="A439" s="5">
        <v>438.0</v>
      </c>
      <c r="B439" s="14" t="s">
        <v>881</v>
      </c>
      <c r="C439" s="6" t="str">
        <f>IFERROR(__xludf.DUMMYFUNCTION("REGEXEXTRACT(B439, ""^[A-Z0-9-]+"")"),"EE-611")</f>
        <v>EE-611</v>
      </c>
      <c r="D439" s="14" t="s">
        <v>882</v>
      </c>
      <c r="E439" s="15" t="s">
        <v>10</v>
      </c>
      <c r="F439" s="14" t="s">
        <v>19</v>
      </c>
      <c r="G439" s="8" t="s">
        <v>30</v>
      </c>
      <c r="H439" s="5" t="str">
        <f>IFERROR(__xludf.DUMMYFUNCTION("REGEXEXTRACT(B439, ""\((\d+)\)"")"),"3")</f>
        <v>3</v>
      </c>
      <c r="I439" s="5"/>
      <c r="J439" s="5"/>
      <c r="K439" s="5"/>
      <c r="L439" s="5"/>
    </row>
    <row r="440" ht="35.25" customHeight="1">
      <c r="A440" s="5">
        <v>439.0</v>
      </c>
      <c r="B440" s="14" t="s">
        <v>883</v>
      </c>
      <c r="C440" s="6" t="str">
        <f>IFERROR(__xludf.DUMMYFUNCTION("REGEXEXTRACT(B440, ""^[A-Z0-9-]+"")"),"EE-611P")</f>
        <v>EE-611P</v>
      </c>
      <c r="D440" s="14" t="s">
        <v>884</v>
      </c>
      <c r="E440" s="15" t="s">
        <v>10</v>
      </c>
      <c r="F440" s="14" t="s">
        <v>385</v>
      </c>
      <c r="G440" s="8" t="s">
        <v>33</v>
      </c>
      <c r="H440" s="5" t="str">
        <f>IFERROR(__xludf.DUMMYFUNCTION("REGEXEXTRACT(B440, ""\((\d+)\)"")"),"#N/A")</f>
        <v>#N/A</v>
      </c>
      <c r="I440" s="5"/>
      <c r="J440" s="5"/>
      <c r="K440" s="5"/>
      <c r="L440" s="5"/>
    </row>
    <row r="441" ht="35.25" customHeight="1">
      <c r="A441" s="5">
        <v>440.0</v>
      </c>
      <c r="B441" s="14" t="s">
        <v>885</v>
      </c>
      <c r="C441" s="6" t="str">
        <f>IFERROR(__xludf.DUMMYFUNCTION("REGEXEXTRACT(B441, ""^[A-Z0-9-]+"")"),"EE-614")</f>
        <v>EE-614</v>
      </c>
      <c r="D441" s="14" t="s">
        <v>886</v>
      </c>
      <c r="E441" s="15" t="s">
        <v>10</v>
      </c>
      <c r="F441" s="14" t="s">
        <v>19</v>
      </c>
      <c r="G441" s="8" t="s">
        <v>36</v>
      </c>
      <c r="H441" s="5" t="str">
        <f>IFERROR(__xludf.DUMMYFUNCTION("REGEXEXTRACT(B441, ""\((\d+)\)"")"),"3")</f>
        <v>3</v>
      </c>
      <c r="I441" s="5"/>
      <c r="J441" s="5"/>
      <c r="K441" s="5"/>
      <c r="L441" s="5"/>
    </row>
    <row r="442" ht="35.25" customHeight="1">
      <c r="A442" s="5">
        <v>441.0</v>
      </c>
      <c r="B442" s="14" t="s">
        <v>887</v>
      </c>
      <c r="C442" s="6" t="str">
        <f>IFERROR(__xludf.DUMMYFUNCTION("REGEXEXTRACT(B442, ""^[A-Z0-9-]+"")"),"EE-615")</f>
        <v>EE-615</v>
      </c>
      <c r="D442" s="14" t="s">
        <v>888</v>
      </c>
      <c r="E442" s="15" t="s">
        <v>10</v>
      </c>
      <c r="F442" s="14" t="s">
        <v>19</v>
      </c>
      <c r="G442" s="8" t="s">
        <v>39</v>
      </c>
      <c r="H442" s="5" t="str">
        <f>IFERROR(__xludf.DUMMYFUNCTION("REGEXEXTRACT(B442, ""\((\d+)\)"")"),"3")</f>
        <v>3</v>
      </c>
      <c r="I442" s="5"/>
      <c r="J442" s="5"/>
      <c r="K442" s="5"/>
      <c r="L442" s="5"/>
    </row>
    <row r="443" ht="35.25" customHeight="1">
      <c r="A443" s="5">
        <v>442.0</v>
      </c>
      <c r="B443" s="14" t="s">
        <v>889</v>
      </c>
      <c r="C443" s="6" t="str">
        <f>IFERROR(__xludf.DUMMYFUNCTION("REGEXEXTRACT(B443, ""^[A-Z0-9-]+"")"),"EE-616")</f>
        <v>EE-616</v>
      </c>
      <c r="D443" s="14" t="s">
        <v>890</v>
      </c>
      <c r="E443" s="15" t="s">
        <v>10</v>
      </c>
      <c r="F443" s="14" t="s">
        <v>60</v>
      </c>
      <c r="G443" s="8" t="s">
        <v>12</v>
      </c>
      <c r="H443" s="5" t="str">
        <f>IFERROR(__xludf.DUMMYFUNCTION("REGEXEXTRACT(B443, ""\((\d+)\)"")"),"2")</f>
        <v>2</v>
      </c>
      <c r="I443" s="5"/>
      <c r="J443" s="5"/>
      <c r="K443" s="5"/>
      <c r="L443" s="5"/>
    </row>
    <row r="444" ht="35.25" customHeight="1">
      <c r="A444" s="5">
        <v>443.0</v>
      </c>
      <c r="B444" s="14" t="s">
        <v>891</v>
      </c>
      <c r="C444" s="6" t="str">
        <f>IFERROR(__xludf.DUMMYFUNCTION("REGEXEXTRACT(B444, ""^[A-Z0-9-]+"")"),"EE-618")</f>
        <v>EE-618</v>
      </c>
      <c r="D444" s="14" t="s">
        <v>892</v>
      </c>
      <c r="E444" s="15" t="s">
        <v>10</v>
      </c>
      <c r="F444" s="14" t="s">
        <v>713</v>
      </c>
      <c r="G444" s="8" t="s">
        <v>16</v>
      </c>
      <c r="H444" s="5" t="str">
        <f>IFERROR(__xludf.DUMMYFUNCTION("REGEXEXTRACT(B444, ""\((\d+)\)"")"),"3")</f>
        <v>3</v>
      </c>
      <c r="I444" s="5"/>
      <c r="J444" s="5"/>
      <c r="K444" s="5"/>
      <c r="L444" s="5"/>
    </row>
    <row r="445" ht="35.25" customHeight="1">
      <c r="A445" s="5">
        <v>444.0</v>
      </c>
      <c r="B445" s="14" t="s">
        <v>893</v>
      </c>
      <c r="C445" s="6" t="str">
        <f>IFERROR(__xludf.DUMMYFUNCTION("REGEXEXTRACT(B445, ""^[A-Z0-9-]+"")"),"EE-619")</f>
        <v>EE-619</v>
      </c>
      <c r="D445" s="14" t="s">
        <v>894</v>
      </c>
      <c r="E445" s="15" t="s">
        <v>10</v>
      </c>
      <c r="F445" s="14" t="s">
        <v>15</v>
      </c>
      <c r="G445" s="8" t="s">
        <v>20</v>
      </c>
      <c r="H445" s="5" t="str">
        <f>IFERROR(__xludf.DUMMYFUNCTION("REGEXEXTRACT(B445, ""\((\d+)\)"")"),"4")</f>
        <v>4</v>
      </c>
      <c r="I445" s="5"/>
      <c r="J445" s="5"/>
      <c r="K445" s="5"/>
      <c r="L445" s="5"/>
    </row>
    <row r="446" ht="35.25" customHeight="1">
      <c r="A446" s="5">
        <v>445.0</v>
      </c>
      <c r="B446" s="14" t="s">
        <v>895</v>
      </c>
      <c r="C446" s="6" t="str">
        <f>IFERROR(__xludf.DUMMYFUNCTION("REGEXEXTRACT(B446, ""^[A-Z0-9-]+"")"),"EE-620")</f>
        <v>EE-620</v>
      </c>
      <c r="D446" s="14" t="s">
        <v>896</v>
      </c>
      <c r="E446" s="15" t="s">
        <v>10</v>
      </c>
      <c r="F446" s="14" t="s">
        <v>19</v>
      </c>
      <c r="G446" s="8" t="s">
        <v>24</v>
      </c>
      <c r="H446" s="5" t="str">
        <f>IFERROR(__xludf.DUMMYFUNCTION("REGEXEXTRACT(B446, ""\((\d+)\)"")"),"3")</f>
        <v>3</v>
      </c>
      <c r="I446" s="5"/>
      <c r="J446" s="5"/>
      <c r="K446" s="5"/>
      <c r="L446" s="5"/>
    </row>
    <row r="447" ht="35.25" customHeight="1">
      <c r="A447" s="5">
        <v>446.0</v>
      </c>
      <c r="B447" s="14" t="s">
        <v>897</v>
      </c>
      <c r="C447" s="6" t="str">
        <f>IFERROR(__xludf.DUMMYFUNCTION("REGEXEXTRACT(B447, ""^[A-Z0-9-]+"")"),"EE")</f>
        <v>EE</v>
      </c>
      <c r="D447" s="14" t="s">
        <v>896</v>
      </c>
      <c r="E447" s="15" t="s">
        <v>10</v>
      </c>
      <c r="F447" s="14" t="s">
        <v>19</v>
      </c>
      <c r="G447" s="8" t="s">
        <v>27</v>
      </c>
      <c r="H447" s="5" t="str">
        <f>IFERROR(__xludf.DUMMYFUNCTION("REGEXEXTRACT(B447, ""\((\d+)\)"")"),"3")</f>
        <v>3</v>
      </c>
      <c r="I447" s="5"/>
      <c r="J447" s="5"/>
      <c r="K447" s="5"/>
      <c r="L447" s="5"/>
    </row>
    <row r="448" ht="35.25" customHeight="1">
      <c r="A448" s="5">
        <v>447.0</v>
      </c>
      <c r="B448" s="14" t="s">
        <v>898</v>
      </c>
      <c r="C448" s="6" t="str">
        <f>IFERROR(__xludf.DUMMYFUNCTION("REGEXEXTRACT(B448, ""^[A-Z0-9-]+"")"),"EE-621")</f>
        <v>EE-621</v>
      </c>
      <c r="D448" s="14" t="s">
        <v>899</v>
      </c>
      <c r="E448" s="15" t="s">
        <v>10</v>
      </c>
      <c r="F448" s="14" t="s">
        <v>11</v>
      </c>
      <c r="G448" s="8" t="s">
        <v>30</v>
      </c>
      <c r="H448" s="5" t="str">
        <f>IFERROR(__xludf.DUMMYFUNCTION("REGEXEXTRACT(B448, ""\((\d+)\)"")"),"4")</f>
        <v>4</v>
      </c>
      <c r="I448" s="5"/>
      <c r="J448" s="5"/>
      <c r="K448" s="5"/>
      <c r="L448" s="5"/>
    </row>
    <row r="449" ht="35.25" customHeight="1">
      <c r="A449" s="5">
        <v>448.0</v>
      </c>
      <c r="B449" s="14" t="s">
        <v>900</v>
      </c>
      <c r="C449" s="6" t="str">
        <f>IFERROR(__xludf.DUMMYFUNCTION("REGEXEXTRACT(B449, ""^[A-Z0-9-]+"")"),"EE")</f>
        <v>EE</v>
      </c>
      <c r="D449" s="14" t="s">
        <v>901</v>
      </c>
      <c r="E449" s="15" t="s">
        <v>10</v>
      </c>
      <c r="F449" s="14" t="s">
        <v>19</v>
      </c>
      <c r="G449" s="8" t="s">
        <v>33</v>
      </c>
      <c r="H449" s="5" t="str">
        <f>IFERROR(__xludf.DUMMYFUNCTION("REGEXEXTRACT(B449, ""\((\d+)\)"")"),"3")</f>
        <v>3</v>
      </c>
      <c r="I449" s="5"/>
      <c r="J449" s="5"/>
      <c r="K449" s="5"/>
      <c r="L449" s="5"/>
    </row>
    <row r="450" ht="35.25" customHeight="1">
      <c r="A450" s="5">
        <v>449.0</v>
      </c>
      <c r="B450" s="14" t="s">
        <v>902</v>
      </c>
      <c r="C450" s="6" t="str">
        <f>IFERROR(__xludf.DUMMYFUNCTION("REGEXEXTRACT(B450, ""^[A-Z0-9-]+"")"),"EE")</f>
        <v>EE</v>
      </c>
      <c r="D450" s="14" t="s">
        <v>903</v>
      </c>
      <c r="E450" s="15" t="s">
        <v>10</v>
      </c>
      <c r="F450" s="14" t="s">
        <v>424</v>
      </c>
      <c r="G450" s="8" t="s">
        <v>36</v>
      </c>
      <c r="H450" s="5" t="str">
        <f>IFERROR(__xludf.DUMMYFUNCTION("REGEXEXTRACT(B450, ""\((\d+)\)"")"),"3")</f>
        <v>3</v>
      </c>
      <c r="I450" s="5"/>
      <c r="J450" s="5"/>
      <c r="K450" s="5"/>
      <c r="L450" s="5"/>
    </row>
    <row r="451" ht="35.25" customHeight="1">
      <c r="A451" s="5">
        <v>450.0</v>
      </c>
      <c r="B451" s="14" t="s">
        <v>904</v>
      </c>
      <c r="C451" s="6" t="str">
        <f>IFERROR(__xludf.DUMMYFUNCTION("REGEXEXTRACT(B451, ""^[A-Z0-9-]+"")"),"EE-623P")</f>
        <v>EE-623P</v>
      </c>
      <c r="D451" s="14" t="s">
        <v>905</v>
      </c>
      <c r="E451" s="15" t="s">
        <v>10</v>
      </c>
      <c r="F451" s="14" t="s">
        <v>906</v>
      </c>
      <c r="G451" s="8" t="s">
        <v>39</v>
      </c>
      <c r="H451" s="5" t="str">
        <f>IFERROR(__xludf.DUMMYFUNCTION("REGEXEXTRACT(B451, ""\((\d+)\)"")"),"3")</f>
        <v>3</v>
      </c>
      <c r="I451" s="5"/>
      <c r="J451" s="5"/>
      <c r="K451" s="5"/>
      <c r="L451" s="5"/>
    </row>
    <row r="452" ht="35.25" customHeight="1">
      <c r="A452" s="5">
        <v>451.0</v>
      </c>
      <c r="B452" s="14" t="s">
        <v>907</v>
      </c>
      <c r="C452" s="6" t="str">
        <f>IFERROR(__xludf.DUMMYFUNCTION("REGEXEXTRACT(B452, ""^[A-Z0-9-]+"")"),"EE")</f>
        <v>EE</v>
      </c>
      <c r="D452" s="14" t="s">
        <v>908</v>
      </c>
      <c r="E452" s="15" t="s">
        <v>87</v>
      </c>
      <c r="F452" s="14" t="s">
        <v>909</v>
      </c>
      <c r="G452" s="8" t="s">
        <v>12</v>
      </c>
      <c r="H452" s="5" t="str">
        <f>IFERROR(__xludf.DUMMYFUNCTION("REGEXEXTRACT(B452, ""\((\d+)\)"")"),"8")</f>
        <v>8</v>
      </c>
      <c r="I452" s="5"/>
      <c r="J452" s="5"/>
      <c r="K452" s="5"/>
      <c r="L452" s="5"/>
    </row>
    <row r="453" ht="35.25" customHeight="1">
      <c r="A453" s="5">
        <v>452.0</v>
      </c>
      <c r="B453" s="14" t="s">
        <v>910</v>
      </c>
      <c r="C453" s="6" t="str">
        <f>IFERROR(__xludf.DUMMYFUNCTION("REGEXEXTRACT(B453, ""^[A-Z0-9-]+"")"),"EE")</f>
        <v>EE</v>
      </c>
      <c r="D453" s="14" t="s">
        <v>908</v>
      </c>
      <c r="E453" s="15" t="s">
        <v>87</v>
      </c>
      <c r="F453" s="14" t="s">
        <v>376</v>
      </c>
      <c r="G453" s="8" t="s">
        <v>16</v>
      </c>
      <c r="H453" s="5" t="str">
        <f>IFERROR(__xludf.DUMMYFUNCTION("REGEXEXTRACT(B453, ""\((\d+)\)"")"),"15")</f>
        <v>15</v>
      </c>
      <c r="I453" s="5"/>
      <c r="J453" s="5"/>
      <c r="K453" s="5"/>
      <c r="L453" s="5"/>
    </row>
    <row r="454" ht="35.25" customHeight="1">
      <c r="A454" s="5">
        <v>453.0</v>
      </c>
      <c r="B454" s="14" t="s">
        <v>911</v>
      </c>
      <c r="C454" s="6" t="str">
        <f>IFERROR(__xludf.DUMMYFUNCTION("REGEXEXTRACT(B454, ""^[A-Z0-9-]+"")"),"EE")</f>
        <v>EE</v>
      </c>
      <c r="D454" s="14" t="s">
        <v>912</v>
      </c>
      <c r="E454" s="15" t="s">
        <v>87</v>
      </c>
      <c r="F454" s="14" t="s">
        <v>107</v>
      </c>
      <c r="G454" s="8" t="s">
        <v>20</v>
      </c>
      <c r="H454" s="5" t="str">
        <f>IFERROR(__xludf.DUMMYFUNCTION("REGEXEXTRACT(B454, ""\((\d+)\)"")"),"17")</f>
        <v>17</v>
      </c>
      <c r="I454" s="5"/>
      <c r="J454" s="5"/>
      <c r="K454" s="5"/>
      <c r="L454" s="5"/>
    </row>
    <row r="455" ht="35.25" customHeight="1">
      <c r="A455" s="5">
        <v>454.0</v>
      </c>
      <c r="B455" s="14" t="s">
        <v>913</v>
      </c>
      <c r="C455" s="6" t="str">
        <f>IFERROR(__xludf.DUMMYFUNCTION("REGEXEXTRACT(B455, ""^[A-Z0-9-]+"")"),"EE")</f>
        <v>EE</v>
      </c>
      <c r="D455" s="14" t="s">
        <v>912</v>
      </c>
      <c r="E455" s="15" t="s">
        <v>87</v>
      </c>
      <c r="F455" s="14" t="s">
        <v>191</v>
      </c>
      <c r="G455" s="8" t="s">
        <v>24</v>
      </c>
      <c r="H455" s="5" t="str">
        <f>IFERROR(__xludf.DUMMYFUNCTION("REGEXEXTRACT(B455, ""\((\d+)\)"")"),"16")</f>
        <v>16</v>
      </c>
      <c r="I455" s="5"/>
      <c r="J455" s="5"/>
      <c r="K455" s="5"/>
      <c r="L455" s="5"/>
    </row>
    <row r="456" ht="35.25" customHeight="1">
      <c r="A456" s="5">
        <v>455.0</v>
      </c>
      <c r="B456" s="14" t="s">
        <v>914</v>
      </c>
      <c r="C456" s="6" t="str">
        <f>IFERROR(__xludf.DUMMYFUNCTION("REGEXEXTRACT(B456, ""^[A-Z0-9-]+"")"),"EE")</f>
        <v>EE</v>
      </c>
      <c r="D456" s="14" t="s">
        <v>915</v>
      </c>
      <c r="E456" s="15" t="s">
        <v>87</v>
      </c>
      <c r="F456" s="14" t="s">
        <v>916</v>
      </c>
      <c r="G456" s="8" t="s">
        <v>27</v>
      </c>
      <c r="H456" s="5" t="str">
        <f>IFERROR(__xludf.DUMMYFUNCTION("REGEXEXTRACT(B456, ""\((\d+)\)"")"),"10")</f>
        <v>10</v>
      </c>
      <c r="I456" s="5"/>
      <c r="J456" s="5"/>
      <c r="K456" s="5"/>
      <c r="L456" s="5"/>
    </row>
    <row r="457" ht="35.25" customHeight="1">
      <c r="A457" s="5">
        <v>456.0</v>
      </c>
      <c r="B457" s="14" t="s">
        <v>917</v>
      </c>
      <c r="C457" s="6" t="str">
        <f>IFERROR(__xludf.DUMMYFUNCTION("REGEXEXTRACT(B457, ""^[A-Z0-9-]+"")"),"EE")</f>
        <v>EE</v>
      </c>
      <c r="D457" s="14" t="s">
        <v>918</v>
      </c>
      <c r="E457" s="15" t="s">
        <v>87</v>
      </c>
      <c r="F457" s="14" t="s">
        <v>919</v>
      </c>
      <c r="G457" s="8" t="s">
        <v>30</v>
      </c>
      <c r="H457" s="5" t="str">
        <f>IFERROR(__xludf.DUMMYFUNCTION("REGEXEXTRACT(B457, ""\((\d+)\)"")"),"18")</f>
        <v>18</v>
      </c>
      <c r="I457" s="5"/>
      <c r="J457" s="5"/>
      <c r="K457" s="5"/>
      <c r="L457" s="5"/>
    </row>
    <row r="458" ht="35.25" customHeight="1">
      <c r="A458" s="5">
        <v>457.0</v>
      </c>
      <c r="B458" s="14" t="s">
        <v>920</v>
      </c>
      <c r="C458" s="6" t="str">
        <f>IFERROR(__xludf.DUMMYFUNCTION("REGEXEXTRACT(B458, ""^[A-Z0-9-]+"")"),"EE-630")</f>
        <v>EE-630</v>
      </c>
      <c r="D458" s="14" t="s">
        <v>921</v>
      </c>
      <c r="E458" s="15" t="s">
        <v>10</v>
      </c>
      <c r="F458" s="14" t="s">
        <v>19</v>
      </c>
      <c r="G458" s="8" t="s">
        <v>33</v>
      </c>
      <c r="H458" s="5" t="str">
        <f>IFERROR(__xludf.DUMMYFUNCTION("REGEXEXTRACT(B458, ""\((\d+)\)"")"),"3")</f>
        <v>3</v>
      </c>
      <c r="I458" s="5"/>
      <c r="J458" s="5"/>
      <c r="K458" s="5"/>
      <c r="L458" s="5"/>
    </row>
    <row r="459" ht="35.25" customHeight="1">
      <c r="A459" s="5">
        <v>458.0</v>
      </c>
      <c r="B459" s="14" t="s">
        <v>922</v>
      </c>
      <c r="C459" s="6" t="str">
        <f>IFERROR(__xludf.DUMMYFUNCTION("REGEXEXTRACT(B459, ""^[A-Z0-9-]+"")"),"EE-641")</f>
        <v>EE-641</v>
      </c>
      <c r="D459" s="14" t="s">
        <v>923</v>
      </c>
      <c r="E459" s="15" t="s">
        <v>10</v>
      </c>
      <c r="F459" s="14" t="s">
        <v>19</v>
      </c>
      <c r="G459" s="8" t="s">
        <v>36</v>
      </c>
      <c r="H459" s="5" t="str">
        <f>IFERROR(__xludf.DUMMYFUNCTION("REGEXEXTRACT(B459, ""\((\d+)\)"")"),"3")</f>
        <v>3</v>
      </c>
      <c r="I459" s="5"/>
      <c r="J459" s="5"/>
      <c r="K459" s="5"/>
      <c r="L459" s="5"/>
    </row>
    <row r="460" ht="35.25" customHeight="1">
      <c r="A460" s="5">
        <v>459.0</v>
      </c>
      <c r="B460" s="14" t="s">
        <v>924</v>
      </c>
      <c r="C460" s="6" t="str">
        <f>IFERROR(__xludf.DUMMYFUNCTION("REGEXEXTRACT(B460, ""^[A-Z0-9-]+"")"),"EE")</f>
        <v>EE</v>
      </c>
      <c r="D460" s="14" t="s">
        <v>925</v>
      </c>
      <c r="E460" s="15" t="s">
        <v>10</v>
      </c>
      <c r="F460" s="14" t="s">
        <v>345</v>
      </c>
      <c r="G460" s="8" t="s">
        <v>39</v>
      </c>
      <c r="H460" s="5" t="str">
        <f>IFERROR(__xludf.DUMMYFUNCTION("REGEXEXTRACT(B460, ""\((\d+)\)"")"),"3")</f>
        <v>3</v>
      </c>
      <c r="I460" s="5"/>
      <c r="J460" s="5"/>
      <c r="K460" s="5"/>
      <c r="L460" s="5"/>
    </row>
    <row r="461" ht="35.25" customHeight="1">
      <c r="A461" s="5">
        <v>460.0</v>
      </c>
      <c r="B461" s="14" t="s">
        <v>926</v>
      </c>
      <c r="C461" s="6" t="str">
        <f>IFERROR(__xludf.DUMMYFUNCTION("REGEXEXTRACT(B461, ""^[A-Z0-9-]+"")"),"EE-650P")</f>
        <v>EE-650P</v>
      </c>
      <c r="D461" s="14" t="s">
        <v>927</v>
      </c>
      <c r="E461" s="15" t="s">
        <v>87</v>
      </c>
      <c r="F461" s="14" t="s">
        <v>107</v>
      </c>
      <c r="G461" s="8" t="s">
        <v>12</v>
      </c>
      <c r="H461" s="5" t="str">
        <f>IFERROR(__xludf.DUMMYFUNCTION("REGEXEXTRACT(B461, ""\((\d+)\)"")"),"17")</f>
        <v>17</v>
      </c>
      <c r="I461" s="5"/>
      <c r="J461" s="5"/>
      <c r="K461" s="5"/>
      <c r="L461" s="5"/>
    </row>
    <row r="462" ht="35.25" customHeight="1">
      <c r="A462" s="5">
        <v>461.0</v>
      </c>
      <c r="B462" s="14" t="s">
        <v>928</v>
      </c>
      <c r="C462" s="6" t="str">
        <f>IFERROR(__xludf.DUMMYFUNCTION("REGEXEXTRACT(B462, ""^[A-Z0-9-]+"")"),"EE-651P")</f>
        <v>EE-651P</v>
      </c>
      <c r="D462" s="14" t="s">
        <v>929</v>
      </c>
      <c r="E462" s="15" t="s">
        <v>87</v>
      </c>
      <c r="F462" s="14" t="s">
        <v>107</v>
      </c>
      <c r="G462" s="8" t="s">
        <v>16</v>
      </c>
      <c r="H462" s="5" t="str">
        <f>IFERROR(__xludf.DUMMYFUNCTION("REGEXEXTRACT(B462, ""\((\d+)\)"")"),"17")</f>
        <v>17</v>
      </c>
      <c r="I462" s="5"/>
      <c r="J462" s="5"/>
      <c r="K462" s="5"/>
      <c r="L462" s="5"/>
    </row>
    <row r="463" ht="35.25" customHeight="1">
      <c r="A463" s="5">
        <v>462.0</v>
      </c>
      <c r="B463" s="14" t="s">
        <v>930</v>
      </c>
      <c r="C463" s="6" t="str">
        <f>IFERROR(__xludf.DUMMYFUNCTION("REGEXEXTRACT(B463, ""^[A-Z0-9-]+"")"),"EM-504")</f>
        <v>EM-504</v>
      </c>
      <c r="D463" s="14" t="s">
        <v>931</v>
      </c>
      <c r="E463" s="15" t="s">
        <v>10</v>
      </c>
      <c r="F463" s="14" t="s">
        <v>11</v>
      </c>
      <c r="G463" s="8" t="s">
        <v>20</v>
      </c>
      <c r="H463" s="5" t="str">
        <f>IFERROR(__xludf.DUMMYFUNCTION("REGEXEXTRACT(B463, ""\((\d+)\)"")"),"4")</f>
        <v>4</v>
      </c>
      <c r="I463" s="5"/>
      <c r="J463" s="5"/>
      <c r="K463" s="5"/>
      <c r="L463" s="5"/>
    </row>
    <row r="464" ht="35.25" customHeight="1">
      <c r="A464" s="5">
        <v>463.0</v>
      </c>
      <c r="B464" s="14" t="s">
        <v>932</v>
      </c>
      <c r="C464" s="6" t="str">
        <f>IFERROR(__xludf.DUMMYFUNCTION("REGEXEXTRACT(B464, ""^[A-Z0-9-]+"")"),"EM-505")</f>
        <v>EM-505</v>
      </c>
      <c r="D464" s="14" t="s">
        <v>933</v>
      </c>
      <c r="E464" s="15" t="s">
        <v>10</v>
      </c>
      <c r="F464" s="14" t="s">
        <v>19</v>
      </c>
      <c r="G464" s="8" t="s">
        <v>24</v>
      </c>
      <c r="H464" s="5" t="str">
        <f>IFERROR(__xludf.DUMMYFUNCTION("REGEXEXTRACT(B464, ""\((\d+)\)"")"),"3")</f>
        <v>3</v>
      </c>
      <c r="I464" s="5"/>
      <c r="J464" s="5"/>
      <c r="K464" s="5"/>
      <c r="L464" s="5"/>
    </row>
    <row r="465" ht="35.25" customHeight="1">
      <c r="A465" s="5">
        <v>464.0</v>
      </c>
      <c r="B465" s="14" t="s">
        <v>934</v>
      </c>
      <c r="C465" s="6" t="str">
        <f>IFERROR(__xludf.DUMMYFUNCTION("REGEXEXTRACT(B465, ""^[A-Z0-9-]+"")"),"EM-603")</f>
        <v>EM-603</v>
      </c>
      <c r="D465" s="14" t="s">
        <v>935</v>
      </c>
      <c r="E465" s="15" t="s">
        <v>10</v>
      </c>
      <c r="F465" s="14">
        <v>2.0</v>
      </c>
      <c r="G465" s="8" t="s">
        <v>27</v>
      </c>
      <c r="H465" s="5" t="str">
        <f>IFERROR(__xludf.DUMMYFUNCTION("REGEXEXTRACT(B465, ""\((\d+)\)"")"),"2")</f>
        <v>2</v>
      </c>
      <c r="I465" s="5"/>
      <c r="J465" s="5"/>
      <c r="K465" s="5"/>
      <c r="L465" s="5"/>
    </row>
    <row r="466" ht="35.25" customHeight="1">
      <c r="A466" s="5">
        <v>465.0</v>
      </c>
      <c r="B466" s="14" t="s">
        <v>936</v>
      </c>
      <c r="C466" s="6" t="str">
        <f>IFERROR(__xludf.DUMMYFUNCTION("REGEXEXTRACT(B466, ""^[A-Z0-9-]+"")"),"EM-651")</f>
        <v>EM-651</v>
      </c>
      <c r="D466" s="14" t="s">
        <v>937</v>
      </c>
      <c r="E466" s="15" t="s">
        <v>10</v>
      </c>
      <c r="F466" s="14" t="s">
        <v>19</v>
      </c>
      <c r="G466" s="8" t="s">
        <v>30</v>
      </c>
      <c r="H466" s="5" t="str">
        <f>IFERROR(__xludf.DUMMYFUNCTION("REGEXEXTRACT(B466, ""\((\d+)\)"")"),"3")</f>
        <v>3</v>
      </c>
      <c r="I466" s="5"/>
      <c r="J466" s="5"/>
      <c r="K466" s="5"/>
      <c r="L466" s="5"/>
    </row>
    <row r="467" ht="35.25" customHeight="1">
      <c r="A467" s="5">
        <v>466.0</v>
      </c>
      <c r="B467" s="14" t="s">
        <v>938</v>
      </c>
      <c r="C467" s="6" t="str">
        <f>IFERROR(__xludf.DUMMYFUNCTION("REGEXEXTRACT(B467, ""^[A-Z0-9-]+"")"),"EM-658")</f>
        <v>EM-658</v>
      </c>
      <c r="D467" s="14" t="s">
        <v>939</v>
      </c>
      <c r="E467" s="15" t="s">
        <v>87</v>
      </c>
      <c r="F467" s="14">
        <v>3.0</v>
      </c>
      <c r="G467" s="8" t="s">
        <v>33</v>
      </c>
      <c r="H467" s="5" t="str">
        <f>IFERROR(__xludf.DUMMYFUNCTION("REGEXEXTRACT(B467, ""\((\d+)\)"")"),"3")</f>
        <v>3</v>
      </c>
      <c r="I467" s="5"/>
      <c r="J467" s="5"/>
      <c r="K467" s="5"/>
      <c r="L467" s="5"/>
    </row>
    <row r="468" ht="35.25" customHeight="1">
      <c r="A468" s="5">
        <v>467.0</v>
      </c>
      <c r="B468" s="14" t="s">
        <v>940</v>
      </c>
      <c r="C468" s="6" t="str">
        <f>IFERROR(__xludf.DUMMYFUNCTION("REGEXEXTRACT(B468, ""^[A-Z0-9-]+"")"),"EN-501")</f>
        <v>EN-501</v>
      </c>
      <c r="D468" s="14" t="s">
        <v>941</v>
      </c>
      <c r="E468" s="15" t="s">
        <v>10</v>
      </c>
      <c r="F468" s="14" t="s">
        <v>19</v>
      </c>
      <c r="G468" s="8" t="s">
        <v>36</v>
      </c>
      <c r="H468" s="5" t="str">
        <f>IFERROR(__xludf.DUMMYFUNCTION("REGEXEXTRACT(B468, ""\((\d+)\)"")"),"3")</f>
        <v>3</v>
      </c>
      <c r="I468" s="5"/>
      <c r="J468" s="5"/>
      <c r="K468" s="5"/>
      <c r="L468" s="5"/>
    </row>
    <row r="469" ht="35.25" customHeight="1">
      <c r="A469" s="5">
        <v>468.0</v>
      </c>
      <c r="B469" s="14" t="s">
        <v>942</v>
      </c>
      <c r="C469" s="6" t="str">
        <f>IFERROR(__xludf.DUMMYFUNCTION("REGEXEXTRACT(B469, ""^[A-Z0-9-]+"")"),"EN-502")</f>
        <v>EN-502</v>
      </c>
      <c r="D469" s="14" t="s">
        <v>943</v>
      </c>
      <c r="E469" s="15" t="s">
        <v>10</v>
      </c>
      <c r="F469" s="14" t="s">
        <v>19</v>
      </c>
      <c r="G469" s="8" t="s">
        <v>39</v>
      </c>
      <c r="H469" s="5" t="str">
        <f>IFERROR(__xludf.DUMMYFUNCTION("REGEXEXTRACT(B469, ""\((\d+)\)"")"),"3")</f>
        <v>3</v>
      </c>
      <c r="I469" s="5"/>
      <c r="J469" s="5"/>
      <c r="K469" s="5"/>
      <c r="L469" s="5"/>
    </row>
    <row r="470" ht="35.25" customHeight="1">
      <c r="A470" s="5">
        <v>469.0</v>
      </c>
      <c r="B470" s="14" t="s">
        <v>944</v>
      </c>
      <c r="C470" s="6" t="str">
        <f>IFERROR(__xludf.DUMMYFUNCTION("REGEXEXTRACT(B470, ""^[A-Z0-9-]+"")"),"EN-503")</f>
        <v>EN-503</v>
      </c>
      <c r="D470" s="14" t="s">
        <v>945</v>
      </c>
      <c r="E470" s="15" t="s">
        <v>10</v>
      </c>
      <c r="F470" s="14" t="s">
        <v>19</v>
      </c>
      <c r="G470" s="8" t="s">
        <v>12</v>
      </c>
      <c r="H470" s="5" t="str">
        <f>IFERROR(__xludf.DUMMYFUNCTION("REGEXEXTRACT(B470, ""\((\d+)\)"")"),"3")</f>
        <v>3</v>
      </c>
      <c r="I470" s="5"/>
      <c r="J470" s="5"/>
      <c r="K470" s="5"/>
      <c r="L470" s="5"/>
    </row>
    <row r="471" ht="35.25" customHeight="1">
      <c r="A471" s="5">
        <v>470.0</v>
      </c>
      <c r="B471" s="14" t="s">
        <v>946</v>
      </c>
      <c r="C471" s="6" t="str">
        <f>IFERROR(__xludf.DUMMYFUNCTION("REGEXEXTRACT(B471, ""^[A-Z0-9-]+"")"),"EN-504")</f>
        <v>EN-504</v>
      </c>
      <c r="D471" s="14" t="s">
        <v>947</v>
      </c>
      <c r="E471" s="15" t="s">
        <v>10</v>
      </c>
      <c r="F471" s="14" t="s">
        <v>19</v>
      </c>
      <c r="G471" s="8" t="s">
        <v>16</v>
      </c>
      <c r="H471" s="5" t="str">
        <f>IFERROR(__xludf.DUMMYFUNCTION("REGEXEXTRACT(B471, ""\((\d+)\)"")"),"3")</f>
        <v>3</v>
      </c>
      <c r="I471" s="5"/>
      <c r="J471" s="5"/>
      <c r="K471" s="5"/>
      <c r="L471" s="5"/>
    </row>
    <row r="472" ht="35.25" customHeight="1">
      <c r="A472" s="5">
        <v>471.0</v>
      </c>
      <c r="B472" s="14" t="s">
        <v>948</v>
      </c>
      <c r="C472" s="6" t="str">
        <f>IFERROR(__xludf.DUMMYFUNCTION("REGEXEXTRACT(B472, ""^[A-Z0-9-]+"")"),"EN-505P")</f>
        <v>EN-505P</v>
      </c>
      <c r="D472" s="14" t="s">
        <v>949</v>
      </c>
      <c r="E472" s="15" t="s">
        <v>10</v>
      </c>
      <c r="F472" s="14" t="s">
        <v>331</v>
      </c>
      <c r="G472" s="8" t="s">
        <v>20</v>
      </c>
      <c r="H472" s="5" t="str">
        <f>IFERROR(__xludf.DUMMYFUNCTION("REGEXEXTRACT(B472, ""\((\d+)\)"")"),"2")</f>
        <v>2</v>
      </c>
      <c r="I472" s="5"/>
      <c r="J472" s="5"/>
      <c r="K472" s="5"/>
      <c r="L472" s="5"/>
    </row>
    <row r="473" ht="35.25" customHeight="1">
      <c r="A473" s="5">
        <v>472.0</v>
      </c>
      <c r="B473" s="14" t="s">
        <v>950</v>
      </c>
      <c r="C473" s="6" t="str">
        <f>IFERROR(__xludf.DUMMYFUNCTION("REGEXEXTRACT(B473, ""^[A-Z0-9-]+"")"),"EN-506")</f>
        <v>EN-506</v>
      </c>
      <c r="D473" s="14" t="s">
        <v>951</v>
      </c>
      <c r="E473" s="15" t="s">
        <v>10</v>
      </c>
      <c r="F473" s="14" t="s">
        <v>19</v>
      </c>
      <c r="G473" s="8" t="s">
        <v>24</v>
      </c>
      <c r="H473" s="5" t="str">
        <f>IFERROR(__xludf.DUMMYFUNCTION("REGEXEXTRACT(B473, ""\((\d+)\)"")"),"3")</f>
        <v>3</v>
      </c>
      <c r="I473" s="5"/>
      <c r="J473" s="5"/>
      <c r="K473" s="5"/>
      <c r="L473" s="5"/>
    </row>
    <row r="474" ht="35.25" customHeight="1">
      <c r="A474" s="5">
        <v>473.0</v>
      </c>
      <c r="B474" s="14" t="s">
        <v>952</v>
      </c>
      <c r="C474" s="6" t="str">
        <f>IFERROR(__xludf.DUMMYFUNCTION("REGEXEXTRACT(B474, ""^[A-Z0-9-]+"")"),"EN-507")</f>
        <v>EN-507</v>
      </c>
      <c r="D474" s="14" t="s">
        <v>953</v>
      </c>
      <c r="E474" s="15" t="s">
        <v>10</v>
      </c>
      <c r="F474" s="14" t="s">
        <v>19</v>
      </c>
      <c r="G474" s="8" t="s">
        <v>27</v>
      </c>
      <c r="H474" s="5" t="str">
        <f>IFERROR(__xludf.DUMMYFUNCTION("REGEXEXTRACT(B474, ""\((\d+)\)"")"),"3")</f>
        <v>3</v>
      </c>
      <c r="I474" s="5"/>
      <c r="J474" s="5"/>
      <c r="K474" s="5"/>
      <c r="L474" s="5"/>
    </row>
    <row r="475" ht="35.25" customHeight="1">
      <c r="A475" s="5">
        <v>474.0</v>
      </c>
      <c r="B475" s="14" t="s">
        <v>954</v>
      </c>
      <c r="C475" s="6" t="str">
        <f>IFERROR(__xludf.DUMMYFUNCTION("REGEXEXTRACT(B475, ""^[A-Z0-9-]+"")"),"EN-508")</f>
        <v>EN-508</v>
      </c>
      <c r="D475" s="14" t="s">
        <v>955</v>
      </c>
      <c r="E475" s="15" t="s">
        <v>10</v>
      </c>
      <c r="F475" s="14" t="s">
        <v>19</v>
      </c>
      <c r="G475" s="8" t="s">
        <v>30</v>
      </c>
      <c r="H475" s="5" t="str">
        <f>IFERROR(__xludf.DUMMYFUNCTION("REGEXEXTRACT(B475, ""\((\d+)\)"")"),"3")</f>
        <v>3</v>
      </c>
      <c r="I475" s="5"/>
      <c r="J475" s="5"/>
      <c r="K475" s="5"/>
      <c r="L475" s="5"/>
    </row>
    <row r="476" ht="35.25" customHeight="1">
      <c r="A476" s="5">
        <v>475.0</v>
      </c>
      <c r="B476" s="14" t="s">
        <v>956</v>
      </c>
      <c r="C476" s="6" t="str">
        <f>IFERROR(__xludf.DUMMYFUNCTION("REGEXEXTRACT(B476, ""^[A-Z0-9-]+"")"),"EN")</f>
        <v>EN</v>
      </c>
      <c r="D476" s="14" t="s">
        <v>957</v>
      </c>
      <c r="E476" s="15" t="s">
        <v>10</v>
      </c>
      <c r="F476" s="14" t="s">
        <v>19</v>
      </c>
      <c r="G476" s="8" t="s">
        <v>33</v>
      </c>
      <c r="H476" s="5" t="str">
        <f>IFERROR(__xludf.DUMMYFUNCTION("REGEXEXTRACT(B476, ""\((\d+)\)"")"),"3")</f>
        <v>3</v>
      </c>
      <c r="I476" s="5"/>
      <c r="J476" s="5"/>
      <c r="K476" s="5"/>
      <c r="L476" s="5"/>
    </row>
    <row r="477" ht="35.25" customHeight="1">
      <c r="A477" s="5">
        <v>476.0</v>
      </c>
      <c r="B477" s="14" t="s">
        <v>958</v>
      </c>
      <c r="C477" s="6" t="str">
        <f>IFERROR(__xludf.DUMMYFUNCTION("REGEXEXTRACT(B477, ""^[A-Z0-9-]+"")"),"EN")</f>
        <v>EN</v>
      </c>
      <c r="D477" s="14" t="s">
        <v>959</v>
      </c>
      <c r="E477" s="15" t="s">
        <v>10</v>
      </c>
      <c r="F477" s="14" t="s">
        <v>15</v>
      </c>
      <c r="G477" s="8" t="s">
        <v>36</v>
      </c>
      <c r="H477" s="5" t="str">
        <f>IFERROR(__xludf.DUMMYFUNCTION("REGEXEXTRACT(B477, ""\((\d+)\)"")"),"4")</f>
        <v>4</v>
      </c>
      <c r="I477" s="5"/>
      <c r="J477" s="5"/>
      <c r="K477" s="5"/>
      <c r="L477" s="5"/>
    </row>
    <row r="478" ht="35.25" customHeight="1">
      <c r="A478" s="5">
        <v>477.0</v>
      </c>
      <c r="B478" s="14" t="s">
        <v>960</v>
      </c>
      <c r="C478" s="6" t="str">
        <f>IFERROR(__xludf.DUMMYFUNCTION("REGEXEXTRACT(B478, ""^[A-Z0-9-]+"")"),"EN-511")</f>
        <v>EN-511</v>
      </c>
      <c r="D478" s="14" t="s">
        <v>961</v>
      </c>
      <c r="E478" s="15" t="s">
        <v>10</v>
      </c>
      <c r="F478" s="14" t="s">
        <v>19</v>
      </c>
      <c r="G478" s="8" t="s">
        <v>39</v>
      </c>
      <c r="H478" s="5" t="str">
        <f>IFERROR(__xludf.DUMMYFUNCTION("REGEXEXTRACT(B478, ""\((\d+)\)"")"),"3")</f>
        <v>3</v>
      </c>
      <c r="I478" s="5"/>
      <c r="J478" s="5"/>
      <c r="K478" s="5"/>
      <c r="L478" s="5"/>
    </row>
    <row r="479" ht="35.25" customHeight="1">
      <c r="A479" s="5">
        <v>478.0</v>
      </c>
      <c r="B479" s="14" t="s">
        <v>962</v>
      </c>
      <c r="C479" s="6" t="str">
        <f>IFERROR(__xludf.DUMMYFUNCTION("REGEXEXTRACT(B479, ""^[A-Z0-9-]+"")"),"EN")</f>
        <v>EN</v>
      </c>
      <c r="D479" s="6" t="s">
        <v>963</v>
      </c>
      <c r="E479" s="15" t="s">
        <v>10</v>
      </c>
      <c r="F479" s="6" t="s">
        <v>964</v>
      </c>
      <c r="G479" s="8" t="s">
        <v>12</v>
      </c>
      <c r="H479" s="5" t="str">
        <f>IFERROR(__xludf.DUMMYFUNCTION("REGEXEXTRACT(B479, ""\((\d+)\)"")"),"4")</f>
        <v>4</v>
      </c>
      <c r="I479" s="5"/>
      <c r="J479" s="5"/>
      <c r="K479" s="5"/>
      <c r="L479" s="5"/>
    </row>
    <row r="480" ht="35.25" customHeight="1">
      <c r="A480" s="5">
        <v>479.0</v>
      </c>
      <c r="B480" s="14" t="s">
        <v>965</v>
      </c>
      <c r="C480" s="6" t="str">
        <f>IFERROR(__xludf.DUMMYFUNCTION("REGEXEXTRACT(B480, ""^[A-Z0-9-]+"")"),"EN-512")</f>
        <v>EN-512</v>
      </c>
      <c r="D480" s="14" t="s">
        <v>966</v>
      </c>
      <c r="E480" s="15" t="s">
        <v>10</v>
      </c>
      <c r="F480" s="14" t="s">
        <v>19</v>
      </c>
      <c r="G480" s="8" t="s">
        <v>16</v>
      </c>
      <c r="H480" s="5" t="str">
        <f>IFERROR(__xludf.DUMMYFUNCTION("REGEXEXTRACT(B480, ""\((\d+)\)"")"),"3")</f>
        <v>3</v>
      </c>
      <c r="I480" s="5"/>
      <c r="J480" s="5"/>
      <c r="K480" s="5"/>
      <c r="L480" s="5"/>
    </row>
    <row r="481" ht="35.25" customHeight="1">
      <c r="A481" s="5">
        <v>480.0</v>
      </c>
      <c r="B481" s="14" t="s">
        <v>967</v>
      </c>
      <c r="C481" s="6" t="str">
        <f>IFERROR(__xludf.DUMMYFUNCTION("REGEXEXTRACT(B481, ""^[A-Z0-9-]+"")"),"EN")</f>
        <v>EN</v>
      </c>
      <c r="D481" s="6" t="s">
        <v>968</v>
      </c>
      <c r="E481" s="15" t="s">
        <v>10</v>
      </c>
      <c r="F481" s="6" t="s">
        <v>906</v>
      </c>
      <c r="G481" s="8" t="s">
        <v>20</v>
      </c>
      <c r="H481" s="5" t="str">
        <f>IFERROR(__xludf.DUMMYFUNCTION("REGEXEXTRACT(B481, ""\((\d+)\)"")"),"3")</f>
        <v>3</v>
      </c>
      <c r="I481" s="5"/>
      <c r="J481" s="5"/>
      <c r="K481" s="5"/>
      <c r="L481" s="5"/>
    </row>
    <row r="482" ht="35.25" customHeight="1">
      <c r="A482" s="5">
        <v>481.0</v>
      </c>
      <c r="B482" s="14" t="s">
        <v>969</v>
      </c>
      <c r="C482" s="6" t="str">
        <f>IFERROR(__xludf.DUMMYFUNCTION("REGEXEXTRACT(B482, ""^[A-Z0-9-]+"")"),"EN-513")</f>
        <v>EN-513</v>
      </c>
      <c r="D482" s="14" t="s">
        <v>970</v>
      </c>
      <c r="E482" s="15" t="s">
        <v>10</v>
      </c>
      <c r="F482" s="14" t="s">
        <v>19</v>
      </c>
      <c r="G482" s="8" t="s">
        <v>24</v>
      </c>
      <c r="H482" s="5" t="str">
        <f>IFERROR(__xludf.DUMMYFUNCTION("REGEXEXTRACT(B482, ""\((\d+)\)"")"),"3")</f>
        <v>3</v>
      </c>
      <c r="I482" s="5"/>
      <c r="J482" s="5"/>
      <c r="K482" s="5"/>
      <c r="L482" s="5"/>
    </row>
    <row r="483" ht="35.25" customHeight="1">
      <c r="A483" s="5">
        <v>482.0</v>
      </c>
      <c r="B483" s="14" t="s">
        <v>971</v>
      </c>
      <c r="C483" s="6" t="str">
        <f>IFERROR(__xludf.DUMMYFUNCTION("REGEXEXTRACT(B483, ""^[A-Z0-9-]+"")"),"EN-604")</f>
        <v>EN-604</v>
      </c>
      <c r="D483" s="14" t="s">
        <v>947</v>
      </c>
      <c r="E483" s="15" t="s">
        <v>10</v>
      </c>
      <c r="F483" s="14" t="s">
        <v>19</v>
      </c>
      <c r="G483" s="8" t="s">
        <v>27</v>
      </c>
      <c r="H483" s="5" t="str">
        <f>IFERROR(__xludf.DUMMYFUNCTION("REGEXEXTRACT(B483, ""\((\d+)\)"")"),"3")</f>
        <v>3</v>
      </c>
      <c r="I483" s="5"/>
      <c r="J483" s="5"/>
      <c r="K483" s="5"/>
      <c r="L483" s="5"/>
    </row>
    <row r="484" ht="35.25" customHeight="1">
      <c r="A484" s="5">
        <v>483.0</v>
      </c>
      <c r="B484" s="14" t="s">
        <v>972</v>
      </c>
      <c r="C484" s="6" t="str">
        <f>IFERROR(__xludf.DUMMYFUNCTION("REGEXEXTRACT(B484, ""^[A-Z0-9-]+"")"),"EN-605")</f>
        <v>EN-605</v>
      </c>
      <c r="D484" s="14" t="s">
        <v>973</v>
      </c>
      <c r="E484" s="15" t="s">
        <v>10</v>
      </c>
      <c r="F484" s="14" t="s">
        <v>23</v>
      </c>
      <c r="G484" s="8" t="s">
        <v>30</v>
      </c>
      <c r="H484" s="5" t="str">
        <f>IFERROR(__xludf.DUMMYFUNCTION("REGEXEXTRACT(B484, ""\((\d+)\)"")"),"3")</f>
        <v>3</v>
      </c>
      <c r="I484" s="5"/>
      <c r="J484" s="5"/>
      <c r="K484" s="5"/>
      <c r="L484" s="5"/>
    </row>
    <row r="485" ht="35.25" customHeight="1">
      <c r="A485" s="5">
        <v>484.0</v>
      </c>
      <c r="B485" s="14" t="s">
        <v>974</v>
      </c>
      <c r="C485" s="6" t="str">
        <f>IFERROR(__xludf.DUMMYFUNCTION("REGEXEXTRACT(B485, ""^[A-Z0-9-]+"")"),"EN-611")</f>
        <v>EN-611</v>
      </c>
      <c r="D485" s="14" t="s">
        <v>975</v>
      </c>
      <c r="E485" s="15" t="s">
        <v>10</v>
      </c>
      <c r="F485" s="14" t="s">
        <v>19</v>
      </c>
      <c r="G485" s="8" t="s">
        <v>33</v>
      </c>
      <c r="H485" s="5" t="str">
        <f>IFERROR(__xludf.DUMMYFUNCTION("REGEXEXTRACT(B485, ""\((\d+)\)"")"),"3")</f>
        <v>3</v>
      </c>
      <c r="I485" s="5"/>
      <c r="J485" s="5"/>
      <c r="K485" s="5"/>
      <c r="L485" s="5"/>
    </row>
    <row r="486" ht="35.25" customHeight="1">
      <c r="A486" s="5">
        <v>485.0</v>
      </c>
      <c r="B486" s="14" t="s">
        <v>976</v>
      </c>
      <c r="C486" s="6" t="str">
        <f>IFERROR(__xludf.DUMMYFUNCTION("REGEXEXTRACT(B486, ""^[A-Z0-9-]+"")"),"EN-612")</f>
        <v>EN-612</v>
      </c>
      <c r="D486" s="14" t="s">
        <v>977</v>
      </c>
      <c r="E486" s="15" t="s">
        <v>10</v>
      </c>
      <c r="F486" s="14" t="s">
        <v>23</v>
      </c>
      <c r="G486" s="8" t="s">
        <v>36</v>
      </c>
      <c r="H486" s="5" t="str">
        <f>IFERROR(__xludf.DUMMYFUNCTION("REGEXEXTRACT(B486, ""\((\d+)\)"")"),"3")</f>
        <v>3</v>
      </c>
      <c r="I486" s="5"/>
      <c r="J486" s="5"/>
      <c r="K486" s="5"/>
      <c r="L486" s="5"/>
    </row>
    <row r="487" ht="35.25" customHeight="1">
      <c r="A487" s="5">
        <v>486.0</v>
      </c>
      <c r="B487" s="14" t="s">
        <v>978</v>
      </c>
      <c r="C487" s="6" t="str">
        <f>IFERROR(__xludf.DUMMYFUNCTION("REGEXEXTRACT(B487, ""^[A-Z0-9-]+"")"),"EN-613")</f>
        <v>EN-613</v>
      </c>
      <c r="D487" s="14" t="s">
        <v>966</v>
      </c>
      <c r="E487" s="15" t="s">
        <v>10</v>
      </c>
      <c r="F487" s="14" t="s">
        <v>19</v>
      </c>
      <c r="G487" s="8" t="s">
        <v>39</v>
      </c>
      <c r="H487" s="5" t="str">
        <f>IFERROR(__xludf.DUMMYFUNCTION("REGEXEXTRACT(B487, ""\((\d+)\)"")"),"3")</f>
        <v>3</v>
      </c>
      <c r="I487" s="5"/>
      <c r="J487" s="5"/>
      <c r="K487" s="5"/>
      <c r="L487" s="5"/>
    </row>
    <row r="488" ht="35.25" customHeight="1">
      <c r="A488" s="5">
        <v>487.0</v>
      </c>
      <c r="B488" s="14" t="s">
        <v>979</v>
      </c>
      <c r="C488" s="6" t="str">
        <f>IFERROR(__xludf.DUMMYFUNCTION("REGEXEXTRACT(B488, ""^[A-Z0-9-]+"")"),"EN")</f>
        <v>EN</v>
      </c>
      <c r="D488" s="14" t="s">
        <v>980</v>
      </c>
      <c r="E488" s="15" t="s">
        <v>10</v>
      </c>
      <c r="F488" s="14" t="s">
        <v>331</v>
      </c>
      <c r="G488" s="8" t="s">
        <v>12</v>
      </c>
      <c r="H488" s="5" t="str">
        <f>IFERROR(__xludf.DUMMYFUNCTION("REGEXEXTRACT(B488, ""\((\d+)\)"")"),"2")</f>
        <v>2</v>
      </c>
      <c r="I488" s="5"/>
      <c r="J488" s="5"/>
      <c r="K488" s="5"/>
      <c r="L488" s="5"/>
    </row>
    <row r="489" ht="35.25" customHeight="1">
      <c r="A489" s="5">
        <v>488.0</v>
      </c>
      <c r="B489" s="14" t="s">
        <v>981</v>
      </c>
      <c r="C489" s="6" t="str">
        <f>IFERROR(__xludf.DUMMYFUNCTION("REGEXEXTRACT(B489, ""^[A-Z0-9-]+"")"),"EP")</f>
        <v>EP</v>
      </c>
      <c r="D489" s="14" t="s">
        <v>982</v>
      </c>
      <c r="E489" s="15" t="s">
        <v>10</v>
      </c>
      <c r="F489" s="14" t="s">
        <v>11</v>
      </c>
      <c r="G489" s="8" t="s">
        <v>16</v>
      </c>
      <c r="H489" s="5" t="str">
        <f>IFERROR(__xludf.DUMMYFUNCTION("REGEXEXTRACT(B489, ""\((\d+)\)"")"),"4")</f>
        <v>4</v>
      </c>
      <c r="I489" s="5"/>
      <c r="J489" s="5"/>
      <c r="K489" s="5"/>
      <c r="L489" s="5"/>
    </row>
    <row r="490" ht="35.25" customHeight="1">
      <c r="A490" s="5">
        <v>489.0</v>
      </c>
      <c r="B490" s="14" t="s">
        <v>983</v>
      </c>
      <c r="C490" s="6" t="str">
        <f>IFERROR(__xludf.DUMMYFUNCTION("REGEXEXTRACT(B490, ""^[A-Z0-9-]+"")"),"EP")</f>
        <v>EP</v>
      </c>
      <c r="D490" s="14" t="s">
        <v>984</v>
      </c>
      <c r="E490" s="15" t="s">
        <v>10</v>
      </c>
      <c r="F490" s="14" t="s">
        <v>23</v>
      </c>
      <c r="G490" s="8" t="s">
        <v>20</v>
      </c>
      <c r="H490" s="5" t="str">
        <f>IFERROR(__xludf.DUMMYFUNCTION("REGEXEXTRACT(B490, ""\((\d+)\)"")"),"3")</f>
        <v>3</v>
      </c>
      <c r="I490" s="5"/>
      <c r="J490" s="5"/>
      <c r="K490" s="5"/>
      <c r="L490" s="5"/>
    </row>
    <row r="491" ht="35.25" customHeight="1">
      <c r="A491" s="5">
        <v>490.0</v>
      </c>
      <c r="B491" s="14" t="s">
        <v>985</v>
      </c>
      <c r="C491" s="6" t="str">
        <f>IFERROR(__xludf.DUMMYFUNCTION("REGEXEXTRACT(B491, ""^[A-Z0-9-]+"")"),"EP-401P")</f>
        <v>EP-401P</v>
      </c>
      <c r="D491" s="14" t="s">
        <v>986</v>
      </c>
      <c r="E491" s="15" t="s">
        <v>10</v>
      </c>
      <c r="F491" s="14" t="s">
        <v>987</v>
      </c>
      <c r="G491" s="8" t="s">
        <v>24</v>
      </c>
      <c r="H491" s="5" t="str">
        <f>IFERROR(__xludf.DUMMYFUNCTION("REGEXEXTRACT(B491, ""\((\d+)\)"")"),"4")</f>
        <v>4</v>
      </c>
      <c r="I491" s="5"/>
      <c r="J491" s="5"/>
      <c r="K491" s="5"/>
      <c r="L491" s="5"/>
    </row>
    <row r="492" ht="35.25" customHeight="1">
      <c r="A492" s="5">
        <v>491.0</v>
      </c>
      <c r="B492" s="6" t="s">
        <v>988</v>
      </c>
      <c r="C492" s="6" t="str">
        <f>IFERROR(__xludf.DUMMYFUNCTION("REGEXEXTRACT(B492, ""^[A-Z0-9-]+"")"),"EP-402P")</f>
        <v>EP-402P</v>
      </c>
      <c r="D492" s="6" t="s">
        <v>989</v>
      </c>
      <c r="E492" s="15" t="s">
        <v>10</v>
      </c>
      <c r="F492" s="6" t="s">
        <v>987</v>
      </c>
      <c r="G492" s="8" t="s">
        <v>27</v>
      </c>
      <c r="H492" s="5" t="str">
        <f>IFERROR(__xludf.DUMMYFUNCTION("REGEXEXTRACT(B492, ""\((\d+)\)"")"),"4")</f>
        <v>4</v>
      </c>
      <c r="I492" s="5"/>
      <c r="J492" s="5"/>
      <c r="K492" s="5"/>
      <c r="L492" s="5"/>
    </row>
    <row r="493" ht="35.25" customHeight="1">
      <c r="A493" s="5">
        <v>492.0</v>
      </c>
      <c r="B493" s="6" t="s">
        <v>990</v>
      </c>
      <c r="C493" s="6" t="str">
        <f>IFERROR(__xludf.DUMMYFUNCTION("REGEXEXTRACT(B493, ""^[A-Z0-9-]+"")"),"EP")</f>
        <v>EP</v>
      </c>
      <c r="D493" s="6" t="s">
        <v>991</v>
      </c>
      <c r="E493" s="15" t="s">
        <v>10</v>
      </c>
      <c r="F493" s="6" t="s">
        <v>19</v>
      </c>
      <c r="G493" s="8" t="s">
        <v>30</v>
      </c>
      <c r="H493" s="5" t="str">
        <f>IFERROR(__xludf.DUMMYFUNCTION("REGEXEXTRACT(B493, ""\((\d+)\)"")"),"3")</f>
        <v>3</v>
      </c>
      <c r="I493" s="5"/>
      <c r="J493" s="5"/>
      <c r="K493" s="5"/>
      <c r="L493" s="5"/>
    </row>
    <row r="494" ht="35.25" customHeight="1">
      <c r="A494" s="5">
        <v>493.0</v>
      </c>
      <c r="B494" s="6" t="s">
        <v>992</v>
      </c>
      <c r="C494" s="6" t="str">
        <f>IFERROR(__xludf.DUMMYFUNCTION("REGEXEXTRACT(B494, ""^[A-Z0-9-]+"")"),"EP-502")</f>
        <v>EP-502</v>
      </c>
      <c r="D494" s="6" t="s">
        <v>993</v>
      </c>
      <c r="E494" s="15" t="s">
        <v>10</v>
      </c>
      <c r="F494" s="6" t="s">
        <v>23</v>
      </c>
      <c r="G494" s="8" t="s">
        <v>33</v>
      </c>
      <c r="H494" s="5" t="str">
        <f>IFERROR(__xludf.DUMMYFUNCTION("REGEXEXTRACT(B494, ""\((\d+)\)"")"),"3")</f>
        <v>3</v>
      </c>
      <c r="I494" s="5"/>
      <c r="J494" s="5"/>
      <c r="K494" s="5"/>
      <c r="L494" s="5"/>
    </row>
    <row r="495" ht="35.25" customHeight="1">
      <c r="A495" s="5">
        <v>494.0</v>
      </c>
      <c r="B495" s="6" t="s">
        <v>994</v>
      </c>
      <c r="C495" s="6" t="str">
        <f>IFERROR(__xludf.DUMMYFUNCTION("REGEXEXTRACT(B495, ""^[A-Z0-9-]+"")"),"ET")</f>
        <v>ET</v>
      </c>
      <c r="D495" s="6" t="s">
        <v>995</v>
      </c>
      <c r="E495" s="7" t="s">
        <v>10</v>
      </c>
      <c r="F495" s="6" t="s">
        <v>19</v>
      </c>
      <c r="G495" s="8" t="s">
        <v>36</v>
      </c>
      <c r="H495" s="5" t="str">
        <f>IFERROR(__xludf.DUMMYFUNCTION("REGEXEXTRACT(B495, ""\((\d+)\)"")"),"3")</f>
        <v>3</v>
      </c>
      <c r="I495" s="5"/>
      <c r="J495" s="5"/>
      <c r="K495" s="5"/>
      <c r="L495" s="5"/>
    </row>
    <row r="496" ht="35.25" customHeight="1">
      <c r="A496" s="5">
        <v>495.0</v>
      </c>
      <c r="B496" s="6" t="s">
        <v>996</v>
      </c>
      <c r="C496" s="6" t="str">
        <f>IFERROR(__xludf.DUMMYFUNCTION("REGEXEXTRACT(B496, ""^[A-Z0-9-]+"")"),"ET")</f>
        <v>ET</v>
      </c>
      <c r="D496" s="6" t="s">
        <v>997</v>
      </c>
      <c r="E496" s="7" t="s">
        <v>10</v>
      </c>
      <c r="F496" s="6" t="s">
        <v>15</v>
      </c>
      <c r="G496" s="8" t="s">
        <v>39</v>
      </c>
      <c r="H496" s="5" t="str">
        <f>IFERROR(__xludf.DUMMYFUNCTION("REGEXEXTRACT(B496, ""\((\d+)\)"")"),"4")</f>
        <v>4</v>
      </c>
      <c r="I496" s="5"/>
      <c r="J496" s="5"/>
      <c r="K496" s="5"/>
      <c r="L496" s="5"/>
    </row>
    <row r="497" ht="35.25" customHeight="1">
      <c r="A497" s="5">
        <v>496.0</v>
      </c>
      <c r="B497" s="6" t="s">
        <v>998</v>
      </c>
      <c r="C497" s="6" t="str">
        <f>IFERROR(__xludf.DUMMYFUNCTION("REGEXEXTRACT(B497, ""^[A-Z0-9-]+"")"),"ET")</f>
        <v>ET</v>
      </c>
      <c r="D497" s="6" t="s">
        <v>999</v>
      </c>
      <c r="E497" s="7" t="s">
        <v>10</v>
      </c>
      <c r="F497" s="6" t="s">
        <v>19</v>
      </c>
      <c r="G497" s="8" t="s">
        <v>12</v>
      </c>
      <c r="H497" s="5" t="str">
        <f>IFERROR(__xludf.DUMMYFUNCTION("REGEXEXTRACT(B497, ""\((\d+)\)"")"),"3")</f>
        <v>3</v>
      </c>
      <c r="I497" s="5"/>
      <c r="J497" s="5"/>
      <c r="K497" s="5"/>
      <c r="L497" s="5"/>
    </row>
    <row r="498" ht="35.25" customHeight="1">
      <c r="A498" s="5">
        <v>497.0</v>
      </c>
      <c r="B498" s="6" t="s">
        <v>1000</v>
      </c>
      <c r="C498" s="6" t="str">
        <f>IFERROR(__xludf.DUMMYFUNCTION("REGEXEXTRACT(B498, ""^[A-Z0-9-]+"")"),"ET-504P")</f>
        <v>ET-504P</v>
      </c>
      <c r="D498" s="6" t="s">
        <v>1001</v>
      </c>
      <c r="E498" s="7" t="s">
        <v>10</v>
      </c>
      <c r="F498" s="6" t="s">
        <v>385</v>
      </c>
      <c r="G498" s="8" t="s">
        <v>16</v>
      </c>
      <c r="H498" s="5" t="str">
        <f>IFERROR(__xludf.DUMMYFUNCTION("REGEXEXTRACT(B498, ""\((\d+)\)"")"),"2")</f>
        <v>2</v>
      </c>
      <c r="I498" s="5"/>
      <c r="J498" s="5"/>
      <c r="K498" s="5"/>
      <c r="L498" s="5"/>
    </row>
    <row r="499" ht="35.25" customHeight="1">
      <c r="A499" s="5">
        <v>498.0</v>
      </c>
      <c r="B499" s="9" t="s">
        <v>1002</v>
      </c>
      <c r="C499" s="6" t="str">
        <f>IFERROR(__xludf.DUMMYFUNCTION("REGEXEXTRACT(B499, ""^[A-Z0-9-]+"")"),"GE-501")</f>
        <v>GE-501</v>
      </c>
      <c r="D499" s="9" t="s">
        <v>1003</v>
      </c>
      <c r="E499" s="7" t="s">
        <v>10</v>
      </c>
      <c r="F499" s="9" t="s">
        <v>23</v>
      </c>
      <c r="G499" s="8" t="s">
        <v>20</v>
      </c>
      <c r="H499" s="5" t="str">
        <f>IFERROR(__xludf.DUMMYFUNCTION("REGEXEXTRACT(B499, ""\((\d+)\)"")"),"3")</f>
        <v>3</v>
      </c>
      <c r="I499" s="5"/>
      <c r="J499" s="5"/>
      <c r="K499" s="5"/>
      <c r="L499" s="5"/>
    </row>
    <row r="500" ht="35.25" customHeight="1">
      <c r="A500" s="5">
        <v>499.0</v>
      </c>
      <c r="B500" s="9" t="s">
        <v>1004</v>
      </c>
      <c r="C500" s="6" t="str">
        <f>IFERROR(__xludf.DUMMYFUNCTION("REGEXEXTRACT(B500, ""^[A-Z0-9-]+"")"),"GE-502")</f>
        <v>GE-502</v>
      </c>
      <c r="D500" s="9" t="s">
        <v>1005</v>
      </c>
      <c r="E500" s="7" t="s">
        <v>10</v>
      </c>
      <c r="F500" s="9" t="s">
        <v>237</v>
      </c>
      <c r="G500" s="8" t="s">
        <v>24</v>
      </c>
      <c r="H500" s="5" t="str">
        <f>IFERROR(__xludf.DUMMYFUNCTION("REGEXEXTRACT(B500, ""\((\d+)\)"")"),"3")</f>
        <v>3</v>
      </c>
      <c r="I500" s="5"/>
      <c r="J500" s="5"/>
      <c r="K500" s="5"/>
      <c r="L500" s="5"/>
    </row>
    <row r="501" ht="35.25" customHeight="1">
      <c r="A501" s="5">
        <v>500.0</v>
      </c>
      <c r="B501" s="9" t="s">
        <v>1006</v>
      </c>
      <c r="C501" s="6" t="str">
        <f>IFERROR(__xludf.DUMMYFUNCTION("REGEXEXTRACT(B501, ""^[A-Z0-9-]+"")"),"GE-521")</f>
        <v>GE-521</v>
      </c>
      <c r="D501" s="9" t="s">
        <v>1007</v>
      </c>
      <c r="E501" s="7" t="s">
        <v>10</v>
      </c>
      <c r="F501" s="9" t="s">
        <v>685</v>
      </c>
      <c r="G501" s="8" t="s">
        <v>27</v>
      </c>
      <c r="H501" s="5" t="str">
        <f>IFERROR(__xludf.DUMMYFUNCTION("REGEXEXTRACT(B501, ""\((\d+)\)"")"),"3")</f>
        <v>3</v>
      </c>
      <c r="I501" s="5"/>
      <c r="J501" s="5"/>
      <c r="K501" s="5"/>
      <c r="L501" s="5"/>
    </row>
    <row r="502" ht="35.25" customHeight="1">
      <c r="A502" s="5">
        <v>501.0</v>
      </c>
      <c r="B502" s="9" t="s">
        <v>1008</v>
      </c>
      <c r="C502" s="6" t="str">
        <f>IFERROR(__xludf.DUMMYFUNCTION("REGEXEXTRACT(B502, ""^[A-Z0-9-]+"")"),"GE-522")</f>
        <v>GE-522</v>
      </c>
      <c r="D502" s="9" t="s">
        <v>1009</v>
      </c>
      <c r="E502" s="7" t="s">
        <v>10</v>
      </c>
      <c r="F502" s="9" t="s">
        <v>15</v>
      </c>
      <c r="G502" s="8" t="s">
        <v>30</v>
      </c>
      <c r="H502" s="5" t="str">
        <f>IFERROR(__xludf.DUMMYFUNCTION("REGEXEXTRACT(B502, ""\((\d+)\)"")"),"4")</f>
        <v>4</v>
      </c>
      <c r="I502" s="5"/>
      <c r="J502" s="5"/>
      <c r="K502" s="5"/>
      <c r="L502" s="5"/>
    </row>
    <row r="503" ht="35.25" customHeight="1">
      <c r="A503" s="5">
        <v>502.0</v>
      </c>
      <c r="B503" s="9" t="s">
        <v>1010</v>
      </c>
      <c r="C503" s="6" t="str">
        <f>IFERROR(__xludf.DUMMYFUNCTION("REGEXEXTRACT(B503, ""^[A-Z0-9-]+"")"),"GE-523")</f>
        <v>GE-523</v>
      </c>
      <c r="D503" s="9" t="s">
        <v>1011</v>
      </c>
      <c r="E503" s="7" t="s">
        <v>10</v>
      </c>
      <c r="F503" s="9" t="s">
        <v>19</v>
      </c>
      <c r="G503" s="8" t="s">
        <v>33</v>
      </c>
      <c r="H503" s="5" t="str">
        <f>IFERROR(__xludf.DUMMYFUNCTION("REGEXEXTRACT(B503, ""\((\d+)\)"")"),"3")</f>
        <v>3</v>
      </c>
      <c r="I503" s="5"/>
      <c r="J503" s="5"/>
      <c r="K503" s="5"/>
      <c r="L503" s="5"/>
    </row>
    <row r="504" ht="35.25" customHeight="1">
      <c r="A504" s="5">
        <v>503.0</v>
      </c>
      <c r="B504" s="22" t="s">
        <v>1012</v>
      </c>
      <c r="C504" s="6" t="str">
        <f>IFERROR(__xludf.DUMMYFUNCTION("REGEXEXTRACT(B504, ""^[A-Z0-9-]+"")"),"HC-600")</f>
        <v>HC-600</v>
      </c>
      <c r="D504" s="22" t="s">
        <v>194</v>
      </c>
      <c r="E504" s="23" t="s">
        <v>87</v>
      </c>
      <c r="F504" s="22" t="s">
        <v>77</v>
      </c>
      <c r="G504" s="8" t="s">
        <v>36</v>
      </c>
      <c r="H504" s="5" t="str">
        <f>IFERROR(__xludf.DUMMYFUNCTION("REGEXEXTRACT(B504, ""\((\d+)\)"")"),"1")</f>
        <v>1</v>
      </c>
      <c r="I504" s="5"/>
      <c r="J504" s="5"/>
      <c r="K504" s="5"/>
      <c r="L504" s="5"/>
    </row>
    <row r="505" ht="35.25" customHeight="1">
      <c r="A505" s="5">
        <v>504.0</v>
      </c>
      <c r="B505" s="14" t="s">
        <v>1013</v>
      </c>
      <c r="C505" s="6" t="str">
        <f>IFERROR(__xludf.DUMMYFUNCTION("REGEXEXTRACT(B505, ""^[A-Z0-9-]+"")"),"HS-102")</f>
        <v>HS-102</v>
      </c>
      <c r="D505" s="14" t="s">
        <v>1014</v>
      </c>
      <c r="E505" s="15" t="s">
        <v>10</v>
      </c>
      <c r="F505" s="14" t="s">
        <v>82</v>
      </c>
      <c r="G505" s="8" t="s">
        <v>39</v>
      </c>
      <c r="H505" s="5" t="str">
        <f>IFERROR(__xludf.DUMMYFUNCTION("REGEXEXTRACT(B505, ""\((\d+)\)"")"),"1")</f>
        <v>1</v>
      </c>
      <c r="I505" s="5"/>
      <c r="J505" s="5"/>
      <c r="K505" s="5"/>
      <c r="L505" s="5"/>
    </row>
    <row r="506" ht="35.25" customHeight="1">
      <c r="A506" s="5">
        <v>505.0</v>
      </c>
      <c r="B506" s="14" t="s">
        <v>1015</v>
      </c>
      <c r="C506" s="6" t="str">
        <f>IFERROR(__xludf.DUMMYFUNCTION("REGEXEXTRACT(B506, ""^[A-Z0-9-]+"")"),"HS-103")</f>
        <v>HS-103</v>
      </c>
      <c r="D506" s="14" t="s">
        <v>1016</v>
      </c>
      <c r="E506" s="15" t="s">
        <v>10</v>
      </c>
      <c r="F506" s="14" t="s">
        <v>77</v>
      </c>
      <c r="G506" s="8" t="s">
        <v>12</v>
      </c>
      <c r="H506" s="5" t="str">
        <f>IFERROR(__xludf.DUMMYFUNCTION("REGEXEXTRACT(B506, ""\((\d+)\)"")"),"1")</f>
        <v>1</v>
      </c>
      <c r="I506" s="5"/>
      <c r="J506" s="5"/>
      <c r="K506" s="5"/>
      <c r="L506" s="5"/>
    </row>
    <row r="507" ht="35.25" customHeight="1">
      <c r="A507" s="5">
        <v>506.0</v>
      </c>
      <c r="B507" s="14" t="s">
        <v>1017</v>
      </c>
      <c r="C507" s="6" t="str">
        <f>IFERROR(__xludf.DUMMYFUNCTION("REGEXEXTRACT(B507, ""^[A-Z0-9-]+"")"),"HS-104")</f>
        <v>HS-104</v>
      </c>
      <c r="D507" s="14" t="s">
        <v>1018</v>
      </c>
      <c r="E507" s="15" t="s">
        <v>10</v>
      </c>
      <c r="F507" s="14" t="s">
        <v>77</v>
      </c>
      <c r="G507" s="8" t="s">
        <v>16</v>
      </c>
      <c r="H507" s="5" t="str">
        <f>IFERROR(__xludf.DUMMYFUNCTION("REGEXEXTRACT(B507, ""\((\d+)\)"")"),"1")</f>
        <v>1</v>
      </c>
      <c r="I507" s="5"/>
      <c r="J507" s="5"/>
      <c r="K507" s="5"/>
      <c r="L507" s="5"/>
    </row>
    <row r="508" ht="35.25" customHeight="1">
      <c r="A508" s="5">
        <v>507.0</v>
      </c>
      <c r="B508" s="14" t="s">
        <v>1019</v>
      </c>
      <c r="C508" s="6" t="str">
        <f>IFERROR(__xludf.DUMMYFUNCTION("REGEXEXTRACT(B508, ""^[A-Z0-9-]+"")"),"HS-105")</f>
        <v>HS-105</v>
      </c>
      <c r="D508" s="14" t="s">
        <v>1020</v>
      </c>
      <c r="E508" s="15" t="s">
        <v>10</v>
      </c>
      <c r="F508" s="9" t="s">
        <v>19</v>
      </c>
      <c r="G508" s="8" t="s">
        <v>20</v>
      </c>
      <c r="H508" s="5" t="str">
        <f>IFERROR(__xludf.DUMMYFUNCTION("REGEXEXTRACT(B508, ""\((\d+)\)"")"),"3")</f>
        <v>3</v>
      </c>
      <c r="I508" s="5"/>
      <c r="J508" s="5"/>
      <c r="K508" s="5"/>
      <c r="L508" s="5"/>
    </row>
    <row r="509" ht="35.25" customHeight="1">
      <c r="A509" s="5">
        <v>508.0</v>
      </c>
      <c r="B509" s="14" t="s">
        <v>1021</v>
      </c>
      <c r="C509" s="6" t="str">
        <f>IFERROR(__xludf.DUMMYFUNCTION("REGEXEXTRACT(B509, ""^[A-Z0-9-]+"")"),"HS-106")</f>
        <v>HS-106</v>
      </c>
      <c r="D509" s="14" t="s">
        <v>1022</v>
      </c>
      <c r="E509" s="15" t="s">
        <v>10</v>
      </c>
      <c r="F509" s="14" t="s">
        <v>19</v>
      </c>
      <c r="G509" s="8" t="s">
        <v>24</v>
      </c>
      <c r="H509" s="5" t="str">
        <f>IFERROR(__xludf.DUMMYFUNCTION("REGEXEXTRACT(B509, ""\((\d+)\)"")"),"3")</f>
        <v>3</v>
      </c>
      <c r="I509" s="5"/>
      <c r="J509" s="5"/>
      <c r="K509" s="5"/>
      <c r="L509" s="5"/>
    </row>
    <row r="510" ht="35.25" customHeight="1">
      <c r="A510" s="5">
        <v>509.0</v>
      </c>
      <c r="B510" s="14" t="s">
        <v>1023</v>
      </c>
      <c r="C510" s="6" t="str">
        <f>IFERROR(__xludf.DUMMYFUNCTION("REGEXEXTRACT(B510, ""^[A-Z0-9-]+"")"),"HS")</f>
        <v>HS</v>
      </c>
      <c r="D510" s="14" t="s">
        <v>1024</v>
      </c>
      <c r="E510" s="15" t="s">
        <v>10</v>
      </c>
      <c r="F510" s="14" t="s">
        <v>77</v>
      </c>
      <c r="G510" s="8" t="s">
        <v>27</v>
      </c>
      <c r="H510" s="5" t="str">
        <f>IFERROR(__xludf.DUMMYFUNCTION("REGEXEXTRACT(B510, ""\((\d+)\)"")"),"1")</f>
        <v>1</v>
      </c>
      <c r="I510" s="5"/>
      <c r="J510" s="5"/>
      <c r="K510" s="5"/>
      <c r="L510" s="5"/>
    </row>
    <row r="511" ht="35.25" customHeight="1">
      <c r="A511" s="5">
        <v>510.0</v>
      </c>
      <c r="B511" s="16" t="s">
        <v>1025</v>
      </c>
      <c r="C511" s="6" t="str">
        <f>IFERROR(__xludf.DUMMYFUNCTION("REGEXEXTRACT(B511, ""^[A-Z0-9-]+"")"),"HS-108")</f>
        <v>HS-108</v>
      </c>
      <c r="D511" s="22" t="s">
        <v>1026</v>
      </c>
      <c r="E511" s="15" t="s">
        <v>10</v>
      </c>
      <c r="F511" s="16" t="s">
        <v>19</v>
      </c>
      <c r="G511" s="8" t="s">
        <v>30</v>
      </c>
      <c r="H511" s="5" t="str">
        <f>IFERROR(__xludf.DUMMYFUNCTION("REGEXEXTRACT(B511, ""\((\d+)\)"")"),"3")</f>
        <v>3</v>
      </c>
      <c r="I511" s="5"/>
      <c r="J511" s="5"/>
      <c r="K511" s="5"/>
      <c r="L511" s="5"/>
    </row>
    <row r="512" ht="35.25" customHeight="1">
      <c r="A512" s="5">
        <v>511.0</v>
      </c>
      <c r="B512" s="22" t="s">
        <v>1027</v>
      </c>
      <c r="C512" s="6" t="str">
        <f>IFERROR(__xludf.DUMMYFUNCTION("REGEXEXTRACT(B512, ""^[A-Z0-9-]+"")"),"HS-109")</f>
        <v>HS-109</v>
      </c>
      <c r="D512" s="22" t="s">
        <v>1028</v>
      </c>
      <c r="E512" s="15" t="s">
        <v>10</v>
      </c>
      <c r="F512" s="22" t="s">
        <v>19</v>
      </c>
      <c r="G512" s="8" t="s">
        <v>33</v>
      </c>
      <c r="H512" s="5" t="str">
        <f>IFERROR(__xludf.DUMMYFUNCTION("REGEXEXTRACT(B512, ""\((\d+)\)"")"),"3")</f>
        <v>3</v>
      </c>
      <c r="I512" s="5"/>
      <c r="J512" s="5"/>
      <c r="K512" s="5"/>
      <c r="L512" s="5"/>
    </row>
    <row r="513" ht="35.25" customHeight="1">
      <c r="A513" s="5">
        <v>512.0</v>
      </c>
      <c r="B513" s="22" t="s">
        <v>1029</v>
      </c>
      <c r="C513" s="6" t="str">
        <f>IFERROR(__xludf.DUMMYFUNCTION("REGEXEXTRACT(B513, ""^[A-Z0-9-]+"")"),"HS-110")</f>
        <v>HS-110</v>
      </c>
      <c r="D513" s="22" t="s">
        <v>1030</v>
      </c>
      <c r="E513" s="23" t="s">
        <v>87</v>
      </c>
      <c r="F513" s="22">
        <v>3.0</v>
      </c>
      <c r="G513" s="8" t="s">
        <v>36</v>
      </c>
      <c r="H513" s="5" t="str">
        <f>IFERROR(__xludf.DUMMYFUNCTION("REGEXEXTRACT(B513, ""\((\d+)\)"")"),"3")</f>
        <v>3</v>
      </c>
      <c r="I513" s="5"/>
      <c r="J513" s="5"/>
      <c r="K513" s="5"/>
      <c r="L513" s="5"/>
    </row>
    <row r="514" ht="35.25" customHeight="1">
      <c r="A514" s="5">
        <v>513.0</v>
      </c>
      <c r="B514" s="22" t="s">
        <v>1031</v>
      </c>
      <c r="C514" s="6" t="str">
        <f>IFERROR(__xludf.DUMMYFUNCTION("REGEXEXTRACT(B514, ""^[A-Z0-9-]+"")"),"HS-111")</f>
        <v>HS-111</v>
      </c>
      <c r="D514" s="22" t="s">
        <v>1032</v>
      </c>
      <c r="E514" s="23" t="s">
        <v>87</v>
      </c>
      <c r="F514" s="22">
        <v>3.0</v>
      </c>
      <c r="G514" s="8" t="s">
        <v>39</v>
      </c>
      <c r="H514" s="5" t="str">
        <f>IFERROR(__xludf.DUMMYFUNCTION("REGEXEXTRACT(B514, ""\((\d+)\)"")"),"3")</f>
        <v>3</v>
      </c>
      <c r="I514" s="5"/>
      <c r="J514" s="5"/>
      <c r="K514" s="5"/>
      <c r="L514" s="5"/>
    </row>
    <row r="515" ht="35.25" customHeight="1">
      <c r="A515" s="5">
        <v>514.0</v>
      </c>
      <c r="B515" s="14" t="s">
        <v>1031</v>
      </c>
      <c r="C515" s="6" t="str">
        <f>IFERROR(__xludf.DUMMYFUNCTION("REGEXEXTRACT(B515, ""^[A-Z0-9-]+"")"),"HS-111")</f>
        <v>HS-111</v>
      </c>
      <c r="D515" s="14" t="s">
        <v>1033</v>
      </c>
      <c r="E515" s="23" t="s">
        <v>87</v>
      </c>
      <c r="F515" s="14">
        <v>3.0</v>
      </c>
      <c r="G515" s="8" t="s">
        <v>12</v>
      </c>
      <c r="H515" s="5" t="str">
        <f>IFERROR(__xludf.DUMMYFUNCTION("REGEXEXTRACT(B515, ""\((\d+)\)"")"),"3")</f>
        <v>3</v>
      </c>
      <c r="I515" s="5"/>
      <c r="J515" s="5"/>
      <c r="K515" s="5"/>
      <c r="L515" s="5"/>
    </row>
    <row r="516" ht="35.25" customHeight="1">
      <c r="A516" s="5">
        <v>515.0</v>
      </c>
      <c r="B516" s="14" t="s">
        <v>1034</v>
      </c>
      <c r="C516" s="6" t="str">
        <f>IFERROR(__xludf.DUMMYFUNCTION("REGEXEXTRACT(B516, ""^[A-Z0-9-]+"")"),"HS-151")</f>
        <v>HS-151</v>
      </c>
      <c r="D516" s="14" t="s">
        <v>1035</v>
      </c>
      <c r="E516" s="15" t="s">
        <v>10</v>
      </c>
      <c r="F516" s="14" t="s">
        <v>19</v>
      </c>
      <c r="G516" s="8" t="s">
        <v>16</v>
      </c>
      <c r="H516" s="5" t="str">
        <f>IFERROR(__xludf.DUMMYFUNCTION("REGEXEXTRACT(B516, ""\((\d+)\)"")"),"3")</f>
        <v>3</v>
      </c>
      <c r="I516" s="5"/>
      <c r="J516" s="5"/>
      <c r="K516" s="5"/>
      <c r="L516" s="5"/>
    </row>
    <row r="517" ht="35.25" customHeight="1">
      <c r="A517" s="5">
        <v>516.0</v>
      </c>
      <c r="B517" s="14" t="s">
        <v>1036</v>
      </c>
      <c r="C517" s="6" t="str">
        <f>IFERROR(__xludf.DUMMYFUNCTION("REGEXEXTRACT(B517, ""^[A-Z0-9-]+"")"),"HS-152")</f>
        <v>HS-152</v>
      </c>
      <c r="D517" s="14" t="s">
        <v>1037</v>
      </c>
      <c r="E517" s="15" t="s">
        <v>10</v>
      </c>
      <c r="F517" s="14" t="s">
        <v>19</v>
      </c>
      <c r="G517" s="8" t="s">
        <v>20</v>
      </c>
      <c r="H517" s="5" t="str">
        <f>IFERROR(__xludf.DUMMYFUNCTION("REGEXEXTRACT(B517, ""\((\d+)\)"")"),"3")</f>
        <v>3</v>
      </c>
      <c r="I517" s="5"/>
      <c r="J517" s="5"/>
      <c r="K517" s="5"/>
      <c r="L517" s="5"/>
    </row>
    <row r="518" ht="35.25" customHeight="1">
      <c r="A518" s="5">
        <v>517.0</v>
      </c>
      <c r="B518" s="14" t="s">
        <v>1038</v>
      </c>
      <c r="C518" s="6" t="str">
        <f>IFERROR(__xludf.DUMMYFUNCTION("REGEXEXTRACT(B518, ""^[A-Z0-9-]+"")"),"HS-201")</f>
        <v>HS-201</v>
      </c>
      <c r="D518" s="14" t="s">
        <v>1039</v>
      </c>
      <c r="E518" s="15" t="s">
        <v>10</v>
      </c>
      <c r="F518" s="14" t="s">
        <v>19</v>
      </c>
      <c r="G518" s="8" t="s">
        <v>24</v>
      </c>
      <c r="H518" s="5" t="str">
        <f>IFERROR(__xludf.DUMMYFUNCTION("REGEXEXTRACT(B518, ""\((\d+)\)"")"),"3")</f>
        <v>3</v>
      </c>
      <c r="I518" s="5"/>
      <c r="J518" s="5"/>
      <c r="K518" s="5"/>
      <c r="L518" s="5"/>
    </row>
    <row r="519" ht="35.25" customHeight="1">
      <c r="A519" s="5">
        <v>518.0</v>
      </c>
      <c r="B519" s="14" t="s">
        <v>1040</v>
      </c>
      <c r="C519" s="6" t="str">
        <f>IFERROR(__xludf.DUMMYFUNCTION("REGEXEXTRACT(B519, ""^[A-Z0-9-]+"")"),"HS-202")</f>
        <v>HS-202</v>
      </c>
      <c r="D519" s="14" t="s">
        <v>1041</v>
      </c>
      <c r="E519" s="15" t="s">
        <v>10</v>
      </c>
      <c r="F519" s="14" t="s">
        <v>19</v>
      </c>
      <c r="G519" s="8" t="s">
        <v>27</v>
      </c>
      <c r="H519" s="5" t="str">
        <f>IFERROR(__xludf.DUMMYFUNCTION("REGEXEXTRACT(B519, ""\((\d+)\)"")"),"3")</f>
        <v>3</v>
      </c>
      <c r="I519" s="5"/>
      <c r="J519" s="5"/>
      <c r="K519" s="5"/>
      <c r="L519" s="5"/>
    </row>
    <row r="520" ht="35.25" customHeight="1">
      <c r="A520" s="5">
        <v>519.0</v>
      </c>
      <c r="B520" s="14" t="s">
        <v>1042</v>
      </c>
      <c r="C520" s="6" t="str">
        <f>IFERROR(__xludf.DUMMYFUNCTION("REGEXEXTRACT(B520, ""^[A-Z0-9-]+"")"),"HS-203")</f>
        <v>HS-203</v>
      </c>
      <c r="D520" s="14" t="s">
        <v>1043</v>
      </c>
      <c r="E520" s="15" t="s">
        <v>10</v>
      </c>
      <c r="F520" s="14" t="s">
        <v>19</v>
      </c>
      <c r="G520" s="8" t="s">
        <v>30</v>
      </c>
      <c r="H520" s="5" t="str">
        <f>IFERROR(__xludf.DUMMYFUNCTION("REGEXEXTRACT(B520, ""\((\d+)\)"")"),"3")</f>
        <v>3</v>
      </c>
      <c r="I520" s="5"/>
      <c r="J520" s="5"/>
      <c r="K520" s="5"/>
      <c r="L520" s="5"/>
    </row>
    <row r="521" ht="35.25" customHeight="1">
      <c r="A521" s="5">
        <v>520.0</v>
      </c>
      <c r="B521" s="14" t="s">
        <v>1044</v>
      </c>
      <c r="C521" s="6" t="str">
        <f>IFERROR(__xludf.DUMMYFUNCTION("REGEXEXTRACT(B521, ""^[A-Z0-9-]+"")"),"HS-204")</f>
        <v>HS-204</v>
      </c>
      <c r="D521" s="14" t="s">
        <v>1045</v>
      </c>
      <c r="E521" s="15" t="s">
        <v>10</v>
      </c>
      <c r="F521" s="14" t="s">
        <v>19</v>
      </c>
      <c r="G521" s="8" t="s">
        <v>33</v>
      </c>
      <c r="H521" s="5" t="str">
        <f>IFERROR(__xludf.DUMMYFUNCTION("REGEXEXTRACT(B521, ""\((\d+)\)"")"),"3")</f>
        <v>3</v>
      </c>
      <c r="I521" s="5"/>
      <c r="J521" s="5"/>
      <c r="K521" s="5"/>
      <c r="L521" s="5"/>
    </row>
    <row r="522" ht="35.25" customHeight="1">
      <c r="A522" s="5">
        <v>521.0</v>
      </c>
      <c r="B522" s="14" t="s">
        <v>1046</v>
      </c>
      <c r="C522" s="6" t="str">
        <f>IFERROR(__xludf.DUMMYFUNCTION("REGEXEXTRACT(B522, ""^[A-Z0-9-]+"")"),"HS-205")</f>
        <v>HS-205</v>
      </c>
      <c r="D522" s="14" t="s">
        <v>1047</v>
      </c>
      <c r="E522" s="15" t="s">
        <v>10</v>
      </c>
      <c r="F522" s="14" t="s">
        <v>19</v>
      </c>
      <c r="G522" s="8" t="s">
        <v>36</v>
      </c>
      <c r="H522" s="5" t="str">
        <f>IFERROR(__xludf.DUMMYFUNCTION("REGEXEXTRACT(B522, ""\((\d+)\)"")"),"3")</f>
        <v>3</v>
      </c>
      <c r="I522" s="5"/>
      <c r="J522" s="5"/>
      <c r="K522" s="5"/>
      <c r="L522" s="5"/>
    </row>
    <row r="523" ht="35.25" customHeight="1">
      <c r="A523" s="5">
        <v>522.0</v>
      </c>
      <c r="B523" s="14" t="s">
        <v>1048</v>
      </c>
      <c r="C523" s="6" t="str">
        <f>IFERROR(__xludf.DUMMYFUNCTION("REGEXEXTRACT(B523, ""^[A-Z0-9-]+"")"),"HS-206")</f>
        <v>HS-206</v>
      </c>
      <c r="D523" s="14" t="s">
        <v>1049</v>
      </c>
      <c r="E523" s="15" t="s">
        <v>10</v>
      </c>
      <c r="F523" s="14" t="s">
        <v>19</v>
      </c>
      <c r="G523" s="8" t="s">
        <v>39</v>
      </c>
      <c r="H523" s="5" t="str">
        <f>IFERROR(__xludf.DUMMYFUNCTION("REGEXEXTRACT(B523, ""\((\d+)\)"")"),"3")</f>
        <v>3</v>
      </c>
      <c r="I523" s="5"/>
      <c r="J523" s="5"/>
      <c r="K523" s="5"/>
      <c r="L523" s="5"/>
    </row>
    <row r="524" ht="35.25" customHeight="1">
      <c r="A524" s="5">
        <v>523.0</v>
      </c>
      <c r="B524" s="14" t="s">
        <v>1050</v>
      </c>
      <c r="C524" s="6" t="str">
        <f>IFERROR(__xludf.DUMMYFUNCTION("REGEXEXTRACT(B524, ""^[A-Z0-9-]+"")"),"HS-208")</f>
        <v>HS-208</v>
      </c>
      <c r="D524" s="14" t="s">
        <v>1051</v>
      </c>
      <c r="E524" s="15" t="s">
        <v>10</v>
      </c>
      <c r="F524" s="14" t="s">
        <v>19</v>
      </c>
      <c r="G524" s="8" t="s">
        <v>12</v>
      </c>
      <c r="H524" s="5" t="str">
        <f>IFERROR(__xludf.DUMMYFUNCTION("REGEXEXTRACT(B524, ""\((\d+)\)"")"),"3")</f>
        <v>3</v>
      </c>
      <c r="I524" s="5"/>
      <c r="J524" s="5"/>
      <c r="K524" s="5"/>
      <c r="L524" s="5"/>
    </row>
    <row r="525" ht="35.25" customHeight="1">
      <c r="A525" s="5">
        <v>524.0</v>
      </c>
      <c r="B525" s="14" t="s">
        <v>1052</v>
      </c>
      <c r="C525" s="6" t="str">
        <f>IFERROR(__xludf.DUMMYFUNCTION("REGEXEXTRACT(B525, ""^[A-Z0-9-]+"")"),"HS-209")</f>
        <v>HS-209</v>
      </c>
      <c r="D525" s="14" t="s">
        <v>1053</v>
      </c>
      <c r="E525" s="15" t="s">
        <v>10</v>
      </c>
      <c r="F525" s="14" t="s">
        <v>424</v>
      </c>
      <c r="G525" s="8" t="s">
        <v>16</v>
      </c>
      <c r="H525" s="5" t="str">
        <f>IFERROR(__xludf.DUMMYFUNCTION("REGEXEXTRACT(B525, ""\((\d+)\)"")"),"3")</f>
        <v>3</v>
      </c>
      <c r="I525" s="5"/>
      <c r="J525" s="5"/>
      <c r="K525" s="5"/>
      <c r="L525" s="5"/>
    </row>
    <row r="526" ht="35.25" customHeight="1">
      <c r="A526" s="5">
        <v>525.0</v>
      </c>
      <c r="B526" s="14" t="s">
        <v>1054</v>
      </c>
      <c r="C526" s="6" t="str">
        <f>IFERROR(__xludf.DUMMYFUNCTION("REGEXEXTRACT(B526, ""^[A-Z0-9-]+"")"),"HS-235")</f>
        <v>HS-235</v>
      </c>
      <c r="D526" s="14" t="s">
        <v>1055</v>
      </c>
      <c r="E526" s="15" t="s">
        <v>10</v>
      </c>
      <c r="F526" s="14" t="s">
        <v>19</v>
      </c>
      <c r="G526" s="8" t="s">
        <v>20</v>
      </c>
      <c r="H526" s="5" t="str">
        <f>IFERROR(__xludf.DUMMYFUNCTION("REGEXEXTRACT(B526, ""\((\d+)\)"")"),"3")</f>
        <v>3</v>
      </c>
      <c r="I526" s="5"/>
      <c r="J526" s="5"/>
      <c r="K526" s="5"/>
      <c r="L526" s="5"/>
    </row>
    <row r="527" ht="35.25" customHeight="1">
      <c r="A527" s="5">
        <v>526.0</v>
      </c>
      <c r="B527" s="14" t="s">
        <v>1056</v>
      </c>
      <c r="C527" s="6" t="str">
        <f>IFERROR(__xludf.DUMMYFUNCTION("REGEXEXTRACT(B527, ""^[A-Z0-9-]+"")"),"HS-252")</f>
        <v>HS-252</v>
      </c>
      <c r="D527" s="14" t="s">
        <v>1057</v>
      </c>
      <c r="E527" s="15" t="s">
        <v>10</v>
      </c>
      <c r="F527" s="14" t="s">
        <v>19</v>
      </c>
      <c r="G527" s="8" t="s">
        <v>24</v>
      </c>
      <c r="H527" s="5" t="str">
        <f>IFERROR(__xludf.DUMMYFUNCTION("REGEXEXTRACT(B527, ""\((\d+)\)"")"),"3")</f>
        <v>3</v>
      </c>
      <c r="I527" s="5"/>
      <c r="J527" s="5"/>
      <c r="K527" s="5"/>
      <c r="L527" s="5"/>
    </row>
    <row r="528" ht="35.25" customHeight="1">
      <c r="A528" s="5">
        <v>527.0</v>
      </c>
      <c r="B528" s="14" t="s">
        <v>1058</v>
      </c>
      <c r="C528" s="6" t="str">
        <f>IFERROR(__xludf.DUMMYFUNCTION("REGEXEXTRACT(B528, ""^[A-Z0-9-]+"")"),"HS-254")</f>
        <v>HS-254</v>
      </c>
      <c r="D528" s="14" t="s">
        <v>1059</v>
      </c>
      <c r="E528" s="15" t="s">
        <v>10</v>
      </c>
      <c r="F528" s="14" t="s">
        <v>19</v>
      </c>
      <c r="G528" s="8" t="s">
        <v>27</v>
      </c>
      <c r="H528" s="5" t="str">
        <f>IFERROR(__xludf.DUMMYFUNCTION("REGEXEXTRACT(B528, ""\((\d+)\)"")"),"3")</f>
        <v>3</v>
      </c>
      <c r="I528" s="5"/>
      <c r="J528" s="5"/>
      <c r="K528" s="5"/>
      <c r="L528" s="5"/>
    </row>
    <row r="529" ht="35.25" customHeight="1">
      <c r="A529" s="5">
        <v>528.0</v>
      </c>
      <c r="B529" s="14" t="s">
        <v>1060</v>
      </c>
      <c r="C529" s="6" t="str">
        <f>IFERROR(__xludf.DUMMYFUNCTION("REGEXEXTRACT(B529, ""^[A-Z0-9-]+"")"),"HS-255")</f>
        <v>HS-255</v>
      </c>
      <c r="D529" s="14" t="s">
        <v>1061</v>
      </c>
      <c r="E529" s="15" t="s">
        <v>10</v>
      </c>
      <c r="F529" s="14" t="s">
        <v>19</v>
      </c>
      <c r="G529" s="8" t="s">
        <v>30</v>
      </c>
      <c r="H529" s="5" t="str">
        <f>IFERROR(__xludf.DUMMYFUNCTION("REGEXEXTRACT(B529, ""\((\d+)\)"")"),"3")</f>
        <v>3</v>
      </c>
      <c r="I529" s="5"/>
      <c r="J529" s="5"/>
      <c r="K529" s="5"/>
      <c r="L529" s="5"/>
    </row>
    <row r="530" ht="35.25" customHeight="1">
      <c r="A530" s="5">
        <v>529.0</v>
      </c>
      <c r="B530" s="14" t="s">
        <v>1062</v>
      </c>
      <c r="C530" s="6" t="str">
        <f>IFERROR(__xludf.DUMMYFUNCTION("REGEXEXTRACT(B530, ""^[A-Z0-9-]+"")"),"HS-261")</f>
        <v>HS-261</v>
      </c>
      <c r="D530" s="14" t="s">
        <v>1063</v>
      </c>
      <c r="E530" s="15" t="s">
        <v>10</v>
      </c>
      <c r="F530" s="14" t="s">
        <v>19</v>
      </c>
      <c r="G530" s="8" t="s">
        <v>33</v>
      </c>
      <c r="H530" s="5" t="str">
        <f>IFERROR(__xludf.DUMMYFUNCTION("REGEXEXTRACT(B530, ""\((\d+)\)"")"),"3")</f>
        <v>3</v>
      </c>
      <c r="I530" s="5"/>
      <c r="J530" s="5"/>
      <c r="K530" s="5"/>
      <c r="L530" s="5"/>
    </row>
    <row r="531" ht="35.25" customHeight="1">
      <c r="A531" s="5">
        <v>530.0</v>
      </c>
      <c r="B531" s="14" t="s">
        <v>1064</v>
      </c>
      <c r="C531" s="6" t="str">
        <f>IFERROR(__xludf.DUMMYFUNCTION("REGEXEXTRACT(B531, ""^[A-Z0-9-]+"")"),"HS-263")</f>
        <v>HS-263</v>
      </c>
      <c r="D531" s="14" t="s">
        <v>1065</v>
      </c>
      <c r="E531" s="15" t="s">
        <v>10</v>
      </c>
      <c r="F531" s="14" t="s">
        <v>19</v>
      </c>
      <c r="G531" s="8" t="s">
        <v>36</v>
      </c>
      <c r="H531" s="5" t="str">
        <f>IFERROR(__xludf.DUMMYFUNCTION("REGEXEXTRACT(B531, ""\((\d+)\)"")"),"3")</f>
        <v>3</v>
      </c>
      <c r="I531" s="5"/>
      <c r="J531" s="5"/>
      <c r="K531" s="5"/>
      <c r="L531" s="5"/>
    </row>
    <row r="532" ht="35.25" customHeight="1">
      <c r="A532" s="5">
        <v>531.0</v>
      </c>
      <c r="B532" s="14" t="s">
        <v>1066</v>
      </c>
      <c r="C532" s="6" t="str">
        <f>IFERROR(__xludf.DUMMYFUNCTION("REGEXEXTRACT(B532, ""^[A-Z0-9-]+"")"),"HS-301")</f>
        <v>HS-301</v>
      </c>
      <c r="D532" s="14" t="s">
        <v>1067</v>
      </c>
      <c r="E532" s="15" t="s">
        <v>10</v>
      </c>
      <c r="F532" s="14" t="s">
        <v>19</v>
      </c>
      <c r="G532" s="8" t="s">
        <v>39</v>
      </c>
      <c r="H532" s="5" t="str">
        <f>IFERROR(__xludf.DUMMYFUNCTION("REGEXEXTRACT(B532, ""\((\d+)\)"")"),"3")</f>
        <v>3</v>
      </c>
      <c r="I532" s="5"/>
      <c r="J532" s="5"/>
      <c r="K532" s="5"/>
      <c r="L532" s="5"/>
    </row>
    <row r="533" ht="35.25" customHeight="1">
      <c r="A533" s="5">
        <v>532.0</v>
      </c>
      <c r="B533" s="6" t="s">
        <v>1068</v>
      </c>
      <c r="C533" s="6" t="str">
        <f>IFERROR(__xludf.DUMMYFUNCTION("REGEXEXTRACT(B533, ""^[A-Z0-9-]+"")"),"HS-302")</f>
        <v>HS-302</v>
      </c>
      <c r="D533" s="6" t="s">
        <v>1069</v>
      </c>
      <c r="E533" s="7" t="s">
        <v>10</v>
      </c>
      <c r="F533" s="6" t="s">
        <v>19</v>
      </c>
      <c r="G533" s="8" t="s">
        <v>12</v>
      </c>
      <c r="H533" s="5" t="str">
        <f>IFERROR(__xludf.DUMMYFUNCTION("REGEXEXTRACT(B533, ""\((\d+)\)"")"),"3")</f>
        <v>3</v>
      </c>
      <c r="I533" s="5"/>
      <c r="J533" s="5"/>
      <c r="K533" s="5"/>
      <c r="L533" s="5"/>
    </row>
    <row r="534" ht="35.25" customHeight="1">
      <c r="A534" s="5">
        <v>533.0</v>
      </c>
      <c r="B534" s="6" t="s">
        <v>1070</v>
      </c>
      <c r="C534" s="6" t="str">
        <f>IFERROR(__xludf.DUMMYFUNCTION("REGEXEXTRACT(B534, ""^[A-Z0-9-]+"")"),"HS-303")</f>
        <v>HS-303</v>
      </c>
      <c r="D534" s="6" t="s">
        <v>1071</v>
      </c>
      <c r="E534" s="7" t="s">
        <v>10</v>
      </c>
      <c r="F534" s="6" t="s">
        <v>19</v>
      </c>
      <c r="G534" s="8" t="s">
        <v>16</v>
      </c>
      <c r="H534" s="5" t="str">
        <f>IFERROR(__xludf.DUMMYFUNCTION("REGEXEXTRACT(B534, ""\((\d+)\)"")"),"3")</f>
        <v>3</v>
      </c>
      <c r="I534" s="5"/>
      <c r="J534" s="5"/>
      <c r="K534" s="5"/>
      <c r="L534" s="5"/>
    </row>
    <row r="535" ht="35.25" customHeight="1">
      <c r="A535" s="5">
        <v>534.0</v>
      </c>
      <c r="B535" s="14" t="s">
        <v>1072</v>
      </c>
      <c r="C535" s="6" t="str">
        <f>IFERROR(__xludf.DUMMYFUNCTION("REGEXEXTRACT(B535, ""^[A-Z0-9-]+"")"),"HS-304")</f>
        <v>HS-304</v>
      </c>
      <c r="D535" s="28" t="s">
        <v>1073</v>
      </c>
      <c r="E535" s="33" t="s">
        <v>10</v>
      </c>
      <c r="F535" s="6" t="s">
        <v>19</v>
      </c>
      <c r="G535" s="8" t="s">
        <v>20</v>
      </c>
      <c r="H535" s="5" t="str">
        <f>IFERROR(__xludf.DUMMYFUNCTION("REGEXEXTRACT(B535, ""\((\d+)\)"")"),"3")</f>
        <v>3</v>
      </c>
      <c r="I535" s="5"/>
      <c r="J535" s="5"/>
      <c r="K535" s="5"/>
      <c r="L535" s="5"/>
    </row>
    <row r="536" ht="35.25" customHeight="1">
      <c r="A536" s="5">
        <v>535.0</v>
      </c>
      <c r="B536" s="22" t="s">
        <v>1074</v>
      </c>
      <c r="C536" s="6" t="str">
        <f>IFERROR(__xludf.DUMMYFUNCTION("REGEXEXTRACT(B536, ""^[A-Z0-9-]+"")"),"HS-306")</f>
        <v>HS-306</v>
      </c>
      <c r="D536" s="22" t="s">
        <v>1075</v>
      </c>
      <c r="E536" s="23" t="s">
        <v>10</v>
      </c>
      <c r="F536" s="22" t="s">
        <v>19</v>
      </c>
      <c r="G536" s="8" t="s">
        <v>24</v>
      </c>
      <c r="H536" s="5" t="str">
        <f>IFERROR(__xludf.DUMMYFUNCTION("REGEXEXTRACT(B536, ""\((\d+)\)"")"),"3")</f>
        <v>3</v>
      </c>
      <c r="I536" s="5"/>
      <c r="J536" s="5"/>
      <c r="K536" s="5"/>
      <c r="L536" s="5"/>
    </row>
    <row r="537" ht="35.25" customHeight="1">
      <c r="A537" s="5">
        <v>536.0</v>
      </c>
      <c r="B537" s="22" t="s">
        <v>1076</v>
      </c>
      <c r="C537" s="6" t="str">
        <f>IFERROR(__xludf.DUMMYFUNCTION("REGEXEXTRACT(B537, ""^[A-Z0-9-]+"")"),"HS-307")</f>
        <v>HS-307</v>
      </c>
      <c r="D537" s="22" t="s">
        <v>1077</v>
      </c>
      <c r="E537" s="23" t="s">
        <v>10</v>
      </c>
      <c r="F537" s="22" t="s">
        <v>19</v>
      </c>
      <c r="G537" s="8" t="s">
        <v>27</v>
      </c>
      <c r="H537" s="5" t="str">
        <f>IFERROR(__xludf.DUMMYFUNCTION("REGEXEXTRACT(B537, ""\((\d+)\)"")"),"3")</f>
        <v>3</v>
      </c>
      <c r="I537" s="5"/>
      <c r="J537" s="5"/>
      <c r="K537" s="5"/>
      <c r="L537" s="5"/>
    </row>
    <row r="538" ht="35.25" customHeight="1">
      <c r="A538" s="5">
        <v>537.0</v>
      </c>
      <c r="B538" s="22" t="s">
        <v>1078</v>
      </c>
      <c r="C538" s="6" t="str">
        <f>IFERROR(__xludf.DUMMYFUNCTION("REGEXEXTRACT(B538, ""^[A-Z0-9-]+"")"),"HS-308")</f>
        <v>HS-308</v>
      </c>
      <c r="D538" s="22" t="s">
        <v>1079</v>
      </c>
      <c r="E538" s="23" t="s">
        <v>10</v>
      </c>
      <c r="F538" s="22" t="s">
        <v>60</v>
      </c>
      <c r="G538" s="8" t="s">
        <v>30</v>
      </c>
      <c r="H538" s="5" t="str">
        <f>IFERROR(__xludf.DUMMYFUNCTION("REGEXEXTRACT(B538, ""\((\d+)\)"")"),"2")</f>
        <v>2</v>
      </c>
      <c r="I538" s="5"/>
      <c r="J538" s="5"/>
      <c r="K538" s="5"/>
      <c r="L538" s="5"/>
    </row>
    <row r="539" ht="35.25" customHeight="1">
      <c r="A539" s="5">
        <v>538.0</v>
      </c>
      <c r="B539" s="14" t="s">
        <v>1080</v>
      </c>
      <c r="C539" s="6" t="str">
        <f>IFERROR(__xludf.DUMMYFUNCTION("REGEXEXTRACT(B539, ""^[A-Z0-9-]+"")"),"HS-331")</f>
        <v>HS-331</v>
      </c>
      <c r="D539" s="28" t="s">
        <v>1081</v>
      </c>
      <c r="E539" s="33" t="s">
        <v>10</v>
      </c>
      <c r="F539" s="14" t="s">
        <v>906</v>
      </c>
      <c r="G539" s="8" t="s">
        <v>33</v>
      </c>
      <c r="H539" s="5" t="str">
        <f>IFERROR(__xludf.DUMMYFUNCTION("REGEXEXTRACT(B539, ""\((\d+)\)"")"),"3")</f>
        <v>3</v>
      </c>
      <c r="I539" s="5"/>
      <c r="J539" s="5"/>
      <c r="K539" s="5"/>
      <c r="L539" s="5"/>
    </row>
    <row r="540" ht="35.25" customHeight="1">
      <c r="A540" s="5">
        <v>539.0</v>
      </c>
      <c r="B540" s="14" t="s">
        <v>1082</v>
      </c>
      <c r="C540" s="6" t="str">
        <f>IFERROR(__xludf.DUMMYFUNCTION("REGEXEXTRACT(B540, ""^[A-Z0-9-]+"")"),"HS-341")</f>
        <v>HS-341</v>
      </c>
      <c r="D540" s="28" t="s">
        <v>1083</v>
      </c>
      <c r="E540" s="33" t="s">
        <v>10</v>
      </c>
      <c r="F540" s="6" t="s">
        <v>19</v>
      </c>
      <c r="G540" s="8" t="s">
        <v>36</v>
      </c>
      <c r="H540" s="5" t="str">
        <f>IFERROR(__xludf.DUMMYFUNCTION("REGEXEXTRACT(B540, ""\((\d+)\)"")"),"3")</f>
        <v>3</v>
      </c>
      <c r="I540" s="5"/>
      <c r="J540" s="5"/>
      <c r="K540" s="5"/>
      <c r="L540" s="5"/>
    </row>
    <row r="541" ht="35.25" customHeight="1">
      <c r="A541" s="5">
        <v>540.0</v>
      </c>
      <c r="B541" s="14" t="s">
        <v>1084</v>
      </c>
      <c r="C541" s="6" t="str">
        <f>IFERROR(__xludf.DUMMYFUNCTION("REGEXEXTRACT(B541, ""^[A-Z0-9-]+"")"),"HS-342")</f>
        <v>HS-342</v>
      </c>
      <c r="D541" s="14" t="s">
        <v>1085</v>
      </c>
      <c r="E541" s="33" t="s">
        <v>10</v>
      </c>
      <c r="F541" s="6" t="s">
        <v>19</v>
      </c>
      <c r="G541" s="8" t="s">
        <v>39</v>
      </c>
      <c r="H541" s="5" t="str">
        <f>IFERROR(__xludf.DUMMYFUNCTION("REGEXEXTRACT(B541, ""\((\d+)\)"")"),"3")</f>
        <v>3</v>
      </c>
      <c r="I541" s="5"/>
      <c r="J541" s="5"/>
      <c r="K541" s="5"/>
      <c r="L541" s="5"/>
    </row>
    <row r="542" ht="35.25" customHeight="1">
      <c r="A542" s="5">
        <v>541.0</v>
      </c>
      <c r="B542" s="14" t="s">
        <v>1086</v>
      </c>
      <c r="C542" s="6" t="str">
        <f>IFERROR(__xludf.DUMMYFUNCTION("REGEXEXTRACT(B542, ""^[A-Z0-9-]+"")"),"HS-343")</f>
        <v>HS-343</v>
      </c>
      <c r="D542" s="14" t="s">
        <v>1087</v>
      </c>
      <c r="E542" s="33" t="s">
        <v>10</v>
      </c>
      <c r="F542" s="6" t="s">
        <v>19</v>
      </c>
      <c r="G542" s="8" t="s">
        <v>12</v>
      </c>
      <c r="H542" s="5" t="str">
        <f>IFERROR(__xludf.DUMMYFUNCTION("REGEXEXTRACT(B542, ""\((\d+)\)"")"),"3")</f>
        <v>3</v>
      </c>
      <c r="I542" s="5"/>
      <c r="J542" s="5"/>
      <c r="K542" s="5"/>
      <c r="L542" s="5"/>
    </row>
    <row r="543" ht="35.25" customHeight="1">
      <c r="A543" s="5">
        <v>542.0</v>
      </c>
      <c r="B543" s="14" t="s">
        <v>1088</v>
      </c>
      <c r="C543" s="6" t="str">
        <f>IFERROR(__xludf.DUMMYFUNCTION("REGEXEXTRACT(B543, ""^[A-Z0-9-]+"")"),"HS-344")</f>
        <v>HS-344</v>
      </c>
      <c r="D543" s="14" t="s">
        <v>1089</v>
      </c>
      <c r="E543" s="33" t="s">
        <v>10</v>
      </c>
      <c r="F543" s="14" t="s">
        <v>19</v>
      </c>
      <c r="G543" s="8" t="s">
        <v>16</v>
      </c>
      <c r="H543" s="5" t="str">
        <f>IFERROR(__xludf.DUMMYFUNCTION("REGEXEXTRACT(B543, ""\((\d+)\)"")"),"3")</f>
        <v>3</v>
      </c>
      <c r="I543" s="5"/>
      <c r="J543" s="5"/>
      <c r="K543" s="5"/>
      <c r="L543" s="5"/>
    </row>
    <row r="544" ht="35.25" customHeight="1">
      <c r="A544" s="5">
        <v>543.0</v>
      </c>
      <c r="B544" s="14" t="s">
        <v>1090</v>
      </c>
      <c r="C544" s="6" t="str">
        <f>IFERROR(__xludf.DUMMYFUNCTION("REGEXEXTRACT(B544, ""^[A-Z0-9-]+"")"),"HS-350")</f>
        <v>HS-350</v>
      </c>
      <c r="D544" s="14" t="s">
        <v>1091</v>
      </c>
      <c r="E544" s="15" t="s">
        <v>10</v>
      </c>
      <c r="F544" s="14" t="s">
        <v>906</v>
      </c>
      <c r="G544" s="8" t="s">
        <v>20</v>
      </c>
      <c r="H544" s="5" t="str">
        <f>IFERROR(__xludf.DUMMYFUNCTION("REGEXEXTRACT(B544, ""\((\d+)\)"")"),"3")</f>
        <v>3</v>
      </c>
      <c r="I544" s="5"/>
      <c r="J544" s="5"/>
      <c r="K544" s="5"/>
      <c r="L544" s="5"/>
    </row>
    <row r="545" ht="35.25" customHeight="1">
      <c r="A545" s="5">
        <v>544.0</v>
      </c>
      <c r="B545" s="14" t="s">
        <v>1092</v>
      </c>
      <c r="C545" s="6" t="str">
        <f>IFERROR(__xludf.DUMMYFUNCTION("REGEXEXTRACT(B545, ""^[A-Z0-9-]+"")"),"HS-351")</f>
        <v>HS-351</v>
      </c>
      <c r="D545" s="14" t="s">
        <v>1093</v>
      </c>
      <c r="E545" s="15" t="s">
        <v>10</v>
      </c>
      <c r="F545" s="14" t="s">
        <v>19</v>
      </c>
      <c r="G545" s="8" t="s">
        <v>24</v>
      </c>
      <c r="H545" s="5" t="str">
        <f>IFERROR(__xludf.DUMMYFUNCTION("REGEXEXTRACT(B545, ""\((\d+)\)"")"),"3")</f>
        <v>3</v>
      </c>
      <c r="I545" s="5"/>
      <c r="J545" s="5"/>
      <c r="K545" s="5"/>
      <c r="L545" s="5"/>
    </row>
    <row r="546" ht="35.25" customHeight="1">
      <c r="A546" s="5">
        <v>545.0</v>
      </c>
      <c r="B546" s="14" t="s">
        <v>1094</v>
      </c>
      <c r="C546" s="6" t="str">
        <f>IFERROR(__xludf.DUMMYFUNCTION("REGEXEXTRACT(B546, ""^[A-Z0-9-]+"")"),"HS-352")</f>
        <v>HS-352</v>
      </c>
      <c r="D546" s="14" t="s">
        <v>1095</v>
      </c>
      <c r="E546" s="15" t="s">
        <v>10</v>
      </c>
      <c r="F546" s="14" t="s">
        <v>19</v>
      </c>
      <c r="G546" s="8" t="s">
        <v>27</v>
      </c>
      <c r="H546" s="5" t="str">
        <f>IFERROR(__xludf.DUMMYFUNCTION("REGEXEXTRACT(B546, ""\((\d+)\)"")"),"3")</f>
        <v>3</v>
      </c>
      <c r="I546" s="5"/>
      <c r="J546" s="5"/>
      <c r="K546" s="5"/>
      <c r="L546" s="5"/>
    </row>
    <row r="547" ht="35.25" customHeight="1">
      <c r="A547" s="5">
        <v>546.0</v>
      </c>
      <c r="B547" s="14" t="s">
        <v>1096</v>
      </c>
      <c r="C547" s="6" t="str">
        <f>IFERROR(__xludf.DUMMYFUNCTION("REGEXEXTRACT(B547, ""^[A-Z0-9-]+"")"),"HS-353")</f>
        <v>HS-353</v>
      </c>
      <c r="D547" s="14" t="s">
        <v>1097</v>
      </c>
      <c r="E547" s="15" t="s">
        <v>10</v>
      </c>
      <c r="F547" s="14" t="s">
        <v>19</v>
      </c>
      <c r="G547" s="8" t="s">
        <v>30</v>
      </c>
      <c r="H547" s="5" t="str">
        <f>IFERROR(__xludf.DUMMYFUNCTION("REGEXEXTRACT(B547, ""\((\d+)\)"")"),"3")</f>
        <v>3</v>
      </c>
      <c r="I547" s="5"/>
      <c r="J547" s="5"/>
      <c r="K547" s="5"/>
      <c r="L547" s="5"/>
    </row>
    <row r="548" ht="35.25" customHeight="1">
      <c r="A548" s="5">
        <v>547.0</v>
      </c>
      <c r="B548" s="14" t="s">
        <v>1098</v>
      </c>
      <c r="C548" s="6" t="str">
        <f>IFERROR(__xludf.DUMMYFUNCTION("REGEXEXTRACT(B548, ""^[A-Z0-9-]+"")"),"HS-354")</f>
        <v>HS-354</v>
      </c>
      <c r="D548" s="14" t="s">
        <v>1099</v>
      </c>
      <c r="E548" s="15" t="s">
        <v>10</v>
      </c>
      <c r="F548" s="14" t="s">
        <v>19</v>
      </c>
      <c r="G548" s="8" t="s">
        <v>33</v>
      </c>
      <c r="H548" s="5" t="str">
        <f>IFERROR(__xludf.DUMMYFUNCTION("REGEXEXTRACT(B548, ""\((\d+)\)"")"),"3")</f>
        <v>3</v>
      </c>
      <c r="I548" s="5"/>
      <c r="J548" s="5"/>
      <c r="K548" s="5"/>
      <c r="L548" s="5"/>
    </row>
    <row r="549" ht="35.25" customHeight="1">
      <c r="A549" s="5">
        <v>548.0</v>
      </c>
      <c r="B549" s="14" t="s">
        <v>1100</v>
      </c>
      <c r="C549" s="6" t="str">
        <f>IFERROR(__xludf.DUMMYFUNCTION("REGEXEXTRACT(B549, ""^[A-Z0-9-]+"")"),"HS-355")</f>
        <v>HS-355</v>
      </c>
      <c r="D549" s="14" t="s">
        <v>1101</v>
      </c>
      <c r="E549" s="15" t="s">
        <v>10</v>
      </c>
      <c r="F549" s="14" t="s">
        <v>19</v>
      </c>
      <c r="G549" s="8" t="s">
        <v>36</v>
      </c>
      <c r="H549" s="5" t="str">
        <f>IFERROR(__xludf.DUMMYFUNCTION("REGEXEXTRACT(B549, ""\((\d+)\)"")"),"3")</f>
        <v>3</v>
      </c>
      <c r="I549" s="5"/>
      <c r="J549" s="5"/>
      <c r="K549" s="5"/>
      <c r="L549" s="5"/>
    </row>
    <row r="550" ht="35.25" customHeight="1">
      <c r="A550" s="5">
        <v>549.0</v>
      </c>
      <c r="B550" s="14" t="s">
        <v>1100</v>
      </c>
      <c r="C550" s="6" t="str">
        <f>IFERROR(__xludf.DUMMYFUNCTION("REGEXEXTRACT(B550, ""^[A-Z0-9-]+"")"),"HS-355")</f>
        <v>HS-355</v>
      </c>
      <c r="D550" s="14" t="s">
        <v>1101</v>
      </c>
      <c r="E550" s="15" t="s">
        <v>10</v>
      </c>
      <c r="F550" s="14" t="s">
        <v>19</v>
      </c>
      <c r="G550" s="8" t="s">
        <v>39</v>
      </c>
      <c r="H550" s="5" t="str">
        <f>IFERROR(__xludf.DUMMYFUNCTION("REGEXEXTRACT(B550, ""\((\d+)\)"")"),"3")</f>
        <v>3</v>
      </c>
      <c r="I550" s="5"/>
      <c r="J550" s="5"/>
      <c r="K550" s="5"/>
      <c r="L550" s="5"/>
    </row>
    <row r="551" ht="35.25" customHeight="1">
      <c r="A551" s="5">
        <v>550.0</v>
      </c>
      <c r="B551" s="14" t="s">
        <v>1102</v>
      </c>
      <c r="C551" s="6" t="str">
        <f>IFERROR(__xludf.DUMMYFUNCTION("REGEXEXTRACT(B551, ""^[A-Z0-9-]+"")"),"HS-357")</f>
        <v>HS-357</v>
      </c>
      <c r="D551" s="14" t="s">
        <v>1103</v>
      </c>
      <c r="E551" s="15" t="s">
        <v>10</v>
      </c>
      <c r="F551" s="14" t="s">
        <v>19</v>
      </c>
      <c r="G551" s="8" t="s">
        <v>12</v>
      </c>
      <c r="H551" s="5" t="str">
        <f>IFERROR(__xludf.DUMMYFUNCTION("REGEXEXTRACT(B551, ""\((\d+)\)"")"),"3")</f>
        <v>3</v>
      </c>
      <c r="I551" s="5"/>
      <c r="J551" s="5"/>
      <c r="K551" s="5"/>
      <c r="L551" s="5"/>
    </row>
    <row r="552" ht="35.25" customHeight="1">
      <c r="A552" s="5">
        <v>551.0</v>
      </c>
      <c r="B552" s="14" t="s">
        <v>1104</v>
      </c>
      <c r="C552" s="6" t="str">
        <f>IFERROR(__xludf.DUMMYFUNCTION("REGEXEXTRACT(B552, ""^[A-Z0-9-]+"")"),"HS-358")</f>
        <v>HS-358</v>
      </c>
      <c r="D552" s="14" t="s">
        <v>1105</v>
      </c>
      <c r="E552" s="15" t="s">
        <v>10</v>
      </c>
      <c r="F552" s="14" t="s">
        <v>19</v>
      </c>
      <c r="G552" s="8" t="s">
        <v>16</v>
      </c>
      <c r="H552" s="5" t="str">
        <f>IFERROR(__xludf.DUMMYFUNCTION("REGEXEXTRACT(B552, ""\((\d+)\)"")"),"3")</f>
        <v>3</v>
      </c>
      <c r="I552" s="5"/>
      <c r="J552" s="5"/>
      <c r="K552" s="5"/>
      <c r="L552" s="5"/>
    </row>
    <row r="553" ht="35.25" customHeight="1">
      <c r="A553" s="5">
        <v>552.0</v>
      </c>
      <c r="B553" s="14" t="s">
        <v>1106</v>
      </c>
      <c r="C553" s="6" t="str">
        <f>IFERROR(__xludf.DUMMYFUNCTION("REGEXEXTRACT(B553, ""^[A-Z0-9-]+"")"),"HS-362")</f>
        <v>HS-362</v>
      </c>
      <c r="D553" s="14" t="s">
        <v>1107</v>
      </c>
      <c r="E553" s="15" t="s">
        <v>10</v>
      </c>
      <c r="F553" s="14" t="s">
        <v>19</v>
      </c>
      <c r="G553" s="8" t="s">
        <v>20</v>
      </c>
      <c r="H553" s="5" t="str">
        <f>IFERROR(__xludf.DUMMYFUNCTION("REGEXEXTRACT(B553, ""\((\d+)\)"")"),"3")</f>
        <v>3</v>
      </c>
      <c r="I553" s="5"/>
      <c r="J553" s="5"/>
      <c r="K553" s="5"/>
      <c r="L553" s="5"/>
    </row>
    <row r="554" ht="35.25" customHeight="1">
      <c r="A554" s="5">
        <v>553.0</v>
      </c>
      <c r="B554" s="14" t="s">
        <v>1108</v>
      </c>
      <c r="C554" s="6" t="str">
        <f>IFERROR(__xludf.DUMMYFUNCTION("REGEXEXTRACT(B554, ""^[A-Z0-9-]+"")"),"HS-363")</f>
        <v>HS-363</v>
      </c>
      <c r="D554" s="14" t="s">
        <v>1109</v>
      </c>
      <c r="E554" s="15" t="s">
        <v>10</v>
      </c>
      <c r="F554" s="14" t="s">
        <v>19</v>
      </c>
      <c r="G554" s="8" t="s">
        <v>24</v>
      </c>
      <c r="H554" s="5" t="str">
        <f>IFERROR(__xludf.DUMMYFUNCTION("REGEXEXTRACT(B554, ""\((\d+)\)"")"),"3")</f>
        <v>3</v>
      </c>
      <c r="I554" s="5"/>
      <c r="J554" s="5"/>
      <c r="K554" s="5"/>
      <c r="L554" s="5"/>
    </row>
    <row r="555" ht="35.25" customHeight="1">
      <c r="A555" s="5">
        <v>554.0</v>
      </c>
      <c r="B555" s="14" t="s">
        <v>1110</v>
      </c>
      <c r="C555" s="6" t="str">
        <f>IFERROR(__xludf.DUMMYFUNCTION("REGEXEXTRACT(B555, ""^[A-Z0-9-]+"")"),"HS-364")</f>
        <v>HS-364</v>
      </c>
      <c r="D555" s="14" t="s">
        <v>1111</v>
      </c>
      <c r="E555" s="15" t="s">
        <v>10</v>
      </c>
      <c r="F555" s="14" t="s">
        <v>19</v>
      </c>
      <c r="G555" s="8" t="s">
        <v>27</v>
      </c>
      <c r="H555" s="5" t="str">
        <f>IFERROR(__xludf.DUMMYFUNCTION("REGEXEXTRACT(B555, ""\((\d+)\)"")"),"3")</f>
        <v>3</v>
      </c>
      <c r="I555" s="5"/>
      <c r="J555" s="5"/>
      <c r="K555" s="5"/>
      <c r="L555" s="5"/>
    </row>
    <row r="556" ht="35.25" customHeight="1">
      <c r="A556" s="5">
        <v>555.0</v>
      </c>
      <c r="B556" s="14" t="s">
        <v>1112</v>
      </c>
      <c r="C556" s="6" t="str">
        <f>IFERROR(__xludf.DUMMYFUNCTION("REGEXEXTRACT(B556, ""^[A-Z0-9-]+"")"),"HS-372")</f>
        <v>HS-372</v>
      </c>
      <c r="D556" s="14" t="s">
        <v>1113</v>
      </c>
      <c r="E556" s="15" t="s">
        <v>10</v>
      </c>
      <c r="F556" s="14" t="s">
        <v>19</v>
      </c>
      <c r="G556" s="8" t="s">
        <v>30</v>
      </c>
      <c r="H556" s="5" t="str">
        <f>IFERROR(__xludf.DUMMYFUNCTION("REGEXEXTRACT(B556, ""\((\d+)\)"")"),"3")</f>
        <v>3</v>
      </c>
      <c r="I556" s="5"/>
      <c r="J556" s="5"/>
      <c r="K556" s="5"/>
      <c r="L556" s="5"/>
    </row>
    <row r="557" ht="35.25" customHeight="1">
      <c r="A557" s="5">
        <v>556.0</v>
      </c>
      <c r="B557" s="14" t="s">
        <v>1114</v>
      </c>
      <c r="C557" s="6" t="str">
        <f>IFERROR(__xludf.DUMMYFUNCTION("REGEXEXTRACT(B557, ""^[A-Z0-9-]+"")"),"HS-373")</f>
        <v>HS-373</v>
      </c>
      <c r="D557" s="14" t="s">
        <v>1115</v>
      </c>
      <c r="E557" s="15" t="s">
        <v>10</v>
      </c>
      <c r="F557" s="14" t="s">
        <v>19</v>
      </c>
      <c r="G557" s="8" t="s">
        <v>33</v>
      </c>
      <c r="H557" s="5" t="str">
        <f>IFERROR(__xludf.DUMMYFUNCTION("REGEXEXTRACT(B557, ""\((\d+)\)"")"),"3")</f>
        <v>3</v>
      </c>
      <c r="I557" s="5"/>
      <c r="J557" s="5"/>
      <c r="K557" s="5"/>
      <c r="L557" s="5"/>
    </row>
    <row r="558" ht="35.25" customHeight="1">
      <c r="A558" s="5">
        <v>557.0</v>
      </c>
      <c r="B558" s="14" t="s">
        <v>1116</v>
      </c>
      <c r="C558" s="6" t="str">
        <f>IFERROR(__xludf.DUMMYFUNCTION("REGEXEXTRACT(B558, ""^[A-Z0-9-]+"")"),"HS-381")</f>
        <v>HS-381</v>
      </c>
      <c r="D558" s="14" t="s">
        <v>1117</v>
      </c>
      <c r="E558" s="15" t="s">
        <v>10</v>
      </c>
      <c r="F558" s="14" t="s">
        <v>19</v>
      </c>
      <c r="G558" s="8" t="s">
        <v>36</v>
      </c>
      <c r="H558" s="5" t="str">
        <f>IFERROR(__xludf.DUMMYFUNCTION("REGEXEXTRACT(B558, ""\((\d+)\)"")"),"3")</f>
        <v>3</v>
      </c>
      <c r="I558" s="5"/>
      <c r="J558" s="5"/>
      <c r="K558" s="5"/>
      <c r="L558" s="5"/>
    </row>
    <row r="559" ht="35.25" customHeight="1">
      <c r="A559" s="5">
        <v>558.0</v>
      </c>
      <c r="B559" s="14" t="s">
        <v>1118</v>
      </c>
      <c r="C559" s="6" t="str">
        <f>IFERROR(__xludf.DUMMYFUNCTION("REGEXEXTRACT(B559, ""^[A-Z0-9-]+"")"),"HS-391")</f>
        <v>HS-391</v>
      </c>
      <c r="D559" s="14" t="s">
        <v>1119</v>
      </c>
      <c r="E559" s="15" t="s">
        <v>10</v>
      </c>
      <c r="F559" s="14" t="s">
        <v>19</v>
      </c>
      <c r="G559" s="8" t="s">
        <v>39</v>
      </c>
      <c r="H559" s="5" t="str">
        <f>IFERROR(__xludf.DUMMYFUNCTION("REGEXEXTRACT(B559, ""\((\d+)\)"")"),"3")</f>
        <v>3</v>
      </c>
      <c r="I559" s="5"/>
      <c r="J559" s="5"/>
      <c r="K559" s="5"/>
      <c r="L559" s="5"/>
    </row>
    <row r="560" ht="35.25" customHeight="1">
      <c r="A560" s="5">
        <v>559.0</v>
      </c>
      <c r="B560" s="14" t="s">
        <v>1120</v>
      </c>
      <c r="C560" s="6" t="str">
        <f>IFERROR(__xludf.DUMMYFUNCTION("REGEXEXTRACT(B560, ""^[A-Z0-9-]+"")"),"HS-393")</f>
        <v>HS-393</v>
      </c>
      <c r="D560" s="14" t="s">
        <v>1121</v>
      </c>
      <c r="E560" s="15" t="s">
        <v>10</v>
      </c>
      <c r="F560" s="14" t="s">
        <v>19</v>
      </c>
      <c r="G560" s="8" t="s">
        <v>12</v>
      </c>
      <c r="H560" s="5" t="str">
        <f>IFERROR(__xludf.DUMMYFUNCTION("REGEXEXTRACT(B560, ""\((\d+)\)"")"),"3")</f>
        <v>3</v>
      </c>
      <c r="I560" s="5"/>
      <c r="J560" s="5"/>
      <c r="K560" s="5"/>
      <c r="L560" s="5"/>
    </row>
    <row r="561" ht="35.25" customHeight="1">
      <c r="A561" s="5">
        <v>560.0</v>
      </c>
      <c r="B561" s="14" t="s">
        <v>1122</v>
      </c>
      <c r="C561" s="6" t="str">
        <f>IFERROR(__xludf.DUMMYFUNCTION("REGEXEXTRACT(B561, ""^[A-Z0-9-]+"")"),"HS-401")</f>
        <v>HS-401</v>
      </c>
      <c r="D561" s="14" t="s">
        <v>1123</v>
      </c>
      <c r="E561" s="15" t="s">
        <v>10</v>
      </c>
      <c r="F561" s="14" t="s">
        <v>19</v>
      </c>
      <c r="G561" s="8" t="s">
        <v>16</v>
      </c>
      <c r="H561" s="5" t="str">
        <f>IFERROR(__xludf.DUMMYFUNCTION("REGEXEXTRACT(B561, ""\((\d+)\)"")"),"3")</f>
        <v>3</v>
      </c>
      <c r="I561" s="5"/>
      <c r="J561" s="5"/>
      <c r="K561" s="5"/>
      <c r="L561" s="5"/>
    </row>
    <row r="562" ht="35.25" customHeight="1">
      <c r="A562" s="5">
        <v>561.0</v>
      </c>
      <c r="B562" s="14" t="s">
        <v>1124</v>
      </c>
      <c r="C562" s="6" t="str">
        <f>IFERROR(__xludf.DUMMYFUNCTION("REGEXEXTRACT(B562, ""^[A-Z0-9-]+"")"),"HS-403")</f>
        <v>HS-403</v>
      </c>
      <c r="D562" s="28" t="s">
        <v>1125</v>
      </c>
      <c r="E562" s="15" t="s">
        <v>10</v>
      </c>
      <c r="F562" s="14" t="s">
        <v>19</v>
      </c>
      <c r="G562" s="8" t="s">
        <v>20</v>
      </c>
      <c r="H562" s="5" t="str">
        <f>IFERROR(__xludf.DUMMYFUNCTION("REGEXEXTRACT(B562, ""\((\d+)\)"")"),"3")</f>
        <v>3</v>
      </c>
      <c r="I562" s="5"/>
      <c r="J562" s="5"/>
      <c r="K562" s="5"/>
      <c r="L562" s="5"/>
    </row>
    <row r="563" ht="35.25" customHeight="1">
      <c r="A563" s="5">
        <v>562.0</v>
      </c>
      <c r="B563" s="14" t="s">
        <v>1126</v>
      </c>
      <c r="C563" s="6" t="str">
        <f>IFERROR(__xludf.DUMMYFUNCTION("REGEXEXTRACT(B563, ""^[A-Z0-9-]+"")"),"HS-450")</f>
        <v>HS-450</v>
      </c>
      <c r="D563" s="14" t="s">
        <v>1127</v>
      </c>
      <c r="E563" s="15" t="s">
        <v>10</v>
      </c>
      <c r="F563" s="14" t="s">
        <v>19</v>
      </c>
      <c r="G563" s="8" t="s">
        <v>24</v>
      </c>
      <c r="H563" s="5" t="str">
        <f>IFERROR(__xludf.DUMMYFUNCTION("REGEXEXTRACT(B563, ""\((\d+)\)"")"),"3")</f>
        <v>3</v>
      </c>
      <c r="I563" s="5"/>
      <c r="J563" s="5"/>
      <c r="K563" s="5"/>
      <c r="L563" s="5"/>
    </row>
    <row r="564" ht="35.25" customHeight="1">
      <c r="A564" s="5">
        <v>563.0</v>
      </c>
      <c r="B564" s="14" t="s">
        <v>1128</v>
      </c>
      <c r="C564" s="6" t="str">
        <f>IFERROR(__xludf.DUMMYFUNCTION("REGEXEXTRACT(B564, ""^[A-Z0-9-]+"")"),"HS-451")</f>
        <v>HS-451</v>
      </c>
      <c r="D564" s="14" t="s">
        <v>1129</v>
      </c>
      <c r="E564" s="15" t="s">
        <v>10</v>
      </c>
      <c r="F564" s="14" t="s">
        <v>19</v>
      </c>
      <c r="G564" s="8" t="s">
        <v>27</v>
      </c>
      <c r="H564" s="5" t="str">
        <f>IFERROR(__xludf.DUMMYFUNCTION("REGEXEXTRACT(B564, ""\((\d+)\)"")"),"3")</f>
        <v>3</v>
      </c>
      <c r="I564" s="5"/>
      <c r="J564" s="5"/>
      <c r="K564" s="5"/>
      <c r="L564" s="5"/>
    </row>
    <row r="565" ht="35.25" customHeight="1">
      <c r="A565" s="5">
        <v>564.0</v>
      </c>
      <c r="B565" s="14" t="s">
        <v>1130</v>
      </c>
      <c r="C565" s="6" t="str">
        <f>IFERROR(__xludf.DUMMYFUNCTION("REGEXEXTRACT(B565, ""^[A-Z0-9-]+"")"),"HS-472")</f>
        <v>HS-472</v>
      </c>
      <c r="D565" s="14" t="s">
        <v>1131</v>
      </c>
      <c r="E565" s="15" t="s">
        <v>10</v>
      </c>
      <c r="F565" s="14" t="s">
        <v>19</v>
      </c>
      <c r="G565" s="8" t="s">
        <v>30</v>
      </c>
      <c r="H565" s="5" t="str">
        <f>IFERROR(__xludf.DUMMYFUNCTION("REGEXEXTRACT(B565, ""\((\d+)\)"")"),"3")</f>
        <v>3</v>
      </c>
      <c r="I565" s="5"/>
      <c r="J565" s="5"/>
      <c r="K565" s="5"/>
      <c r="L565" s="5"/>
    </row>
    <row r="566" ht="35.25" customHeight="1">
      <c r="A566" s="5">
        <v>565.0</v>
      </c>
      <c r="B566" s="14" t="s">
        <v>1132</v>
      </c>
      <c r="C566" s="6" t="str">
        <f>IFERROR(__xludf.DUMMYFUNCTION("REGEXEXTRACT(B566, ""^[A-Z0-9-]+"")"),"HS-481")</f>
        <v>HS-481</v>
      </c>
      <c r="D566" s="14" t="s">
        <v>1133</v>
      </c>
      <c r="E566" s="15" t="s">
        <v>10</v>
      </c>
      <c r="F566" s="14" t="s">
        <v>19</v>
      </c>
      <c r="G566" s="8" t="s">
        <v>33</v>
      </c>
      <c r="H566" s="5" t="str">
        <f>IFERROR(__xludf.DUMMYFUNCTION("REGEXEXTRACT(B566, ""\((\d+)\)"")"),"3")</f>
        <v>3</v>
      </c>
      <c r="I566" s="5"/>
      <c r="J566" s="5"/>
      <c r="K566" s="5"/>
      <c r="L566" s="5"/>
    </row>
    <row r="567" ht="35.25" customHeight="1">
      <c r="A567" s="5">
        <v>566.0</v>
      </c>
      <c r="B567" s="22" t="s">
        <v>1134</v>
      </c>
      <c r="C567" s="6" t="str">
        <f>IFERROR(__xludf.DUMMYFUNCTION("REGEXEXTRACT(B567, ""^[A-Z0-9-]+"")"),"HS-501")</f>
        <v>HS-501</v>
      </c>
      <c r="D567" s="22" t="s">
        <v>1135</v>
      </c>
      <c r="E567" s="23" t="s">
        <v>10</v>
      </c>
      <c r="F567" s="22" t="s">
        <v>15</v>
      </c>
      <c r="G567" s="8" t="s">
        <v>36</v>
      </c>
      <c r="H567" s="5" t="str">
        <f>IFERROR(__xludf.DUMMYFUNCTION("REGEXEXTRACT(B567, ""\((\d+)\)"")"),"4")</f>
        <v>4</v>
      </c>
      <c r="I567" s="5"/>
      <c r="J567" s="5"/>
      <c r="K567" s="5"/>
      <c r="L567" s="5"/>
    </row>
    <row r="568" ht="35.25" customHeight="1">
      <c r="A568" s="5">
        <v>567.0</v>
      </c>
      <c r="B568" s="22" t="s">
        <v>1136</v>
      </c>
      <c r="C568" s="6" t="str">
        <f>IFERROR(__xludf.DUMMYFUNCTION("REGEXEXTRACT(B568, ""^[A-Z0-9-]+"")"),"HS-503")</f>
        <v>HS-503</v>
      </c>
      <c r="D568" s="22" t="s">
        <v>1137</v>
      </c>
      <c r="E568" s="15" t="s">
        <v>10</v>
      </c>
      <c r="F568" s="22" t="s">
        <v>19</v>
      </c>
      <c r="G568" s="8" t="s">
        <v>39</v>
      </c>
      <c r="H568" s="5" t="str">
        <f>IFERROR(__xludf.DUMMYFUNCTION("REGEXEXTRACT(B568, ""\((\d+)\)"")"),"4")</f>
        <v>4</v>
      </c>
      <c r="I568" s="5"/>
      <c r="J568" s="5"/>
      <c r="K568" s="5"/>
      <c r="L568" s="5"/>
    </row>
    <row r="569" ht="35.25" customHeight="1">
      <c r="A569" s="5">
        <v>568.0</v>
      </c>
      <c r="B569" s="22" t="s">
        <v>1138</v>
      </c>
      <c r="C569" s="6" t="str">
        <f>IFERROR(__xludf.DUMMYFUNCTION("REGEXEXTRACT(B569, ""^[A-Z0-9-]+"")"),"HS-504")</f>
        <v>HS-504</v>
      </c>
      <c r="D569" s="22" t="s">
        <v>1139</v>
      </c>
      <c r="E569" s="15" t="s">
        <v>10</v>
      </c>
      <c r="F569" s="22" t="s">
        <v>19</v>
      </c>
      <c r="G569" s="8" t="s">
        <v>12</v>
      </c>
      <c r="H569" s="5" t="str">
        <f>IFERROR(__xludf.DUMMYFUNCTION("REGEXEXTRACT(B569, ""\((\d+)\)"")"),"3")</f>
        <v>3</v>
      </c>
      <c r="I569" s="5"/>
      <c r="J569" s="5"/>
      <c r="K569" s="5"/>
      <c r="L569" s="5"/>
    </row>
    <row r="570" ht="35.25" customHeight="1">
      <c r="A570" s="5">
        <v>569.0</v>
      </c>
      <c r="B570" s="22" t="s">
        <v>1140</v>
      </c>
      <c r="C570" s="6" t="str">
        <f>IFERROR(__xludf.DUMMYFUNCTION("REGEXEXTRACT(B570, ""^[A-Z0-9-]+"")"),"HS-505")</f>
        <v>HS-505</v>
      </c>
      <c r="D570" s="22" t="s">
        <v>1141</v>
      </c>
      <c r="E570" s="23" t="s">
        <v>10</v>
      </c>
      <c r="F570" s="22" t="s">
        <v>19</v>
      </c>
      <c r="G570" s="8" t="s">
        <v>16</v>
      </c>
      <c r="H570" s="5" t="str">
        <f>IFERROR(__xludf.DUMMYFUNCTION("REGEXEXTRACT(B570, ""\((\d+)\)"")"),"3")</f>
        <v>3</v>
      </c>
      <c r="I570" s="5"/>
      <c r="J570" s="5"/>
      <c r="K570" s="5"/>
      <c r="L570" s="5"/>
    </row>
    <row r="571" ht="35.25" customHeight="1">
      <c r="A571" s="5">
        <v>570.0</v>
      </c>
      <c r="B571" s="22" t="s">
        <v>1142</v>
      </c>
      <c r="C571" s="6" t="str">
        <f>IFERROR(__xludf.DUMMYFUNCTION("REGEXEXTRACT(B571, ""^[A-Z0-9-]+"")"),"HS-506")</f>
        <v>HS-506</v>
      </c>
      <c r="D571" s="22" t="s">
        <v>1143</v>
      </c>
      <c r="E571" s="23" t="s">
        <v>10</v>
      </c>
      <c r="F571" s="22" t="s">
        <v>19</v>
      </c>
      <c r="G571" s="8" t="s">
        <v>20</v>
      </c>
      <c r="H571" s="5" t="str">
        <f>IFERROR(__xludf.DUMMYFUNCTION("REGEXEXTRACT(B571, ""\((\d+)\)"")"),"3")</f>
        <v>3</v>
      </c>
      <c r="I571" s="5"/>
      <c r="J571" s="5"/>
      <c r="K571" s="5"/>
      <c r="L571" s="5"/>
    </row>
    <row r="572" ht="35.25" customHeight="1">
      <c r="A572" s="5">
        <v>571.0</v>
      </c>
      <c r="B572" s="14" t="s">
        <v>1144</v>
      </c>
      <c r="C572" s="6" t="str">
        <f>IFERROR(__xludf.DUMMYFUNCTION("REGEXEXTRACT(B572, ""^[A-Z0-9-]+"")"),"HS-508")</f>
        <v>HS-508</v>
      </c>
      <c r="D572" s="14" t="s">
        <v>1145</v>
      </c>
      <c r="E572" s="23" t="s">
        <v>10</v>
      </c>
      <c r="F572" s="14" t="s">
        <v>237</v>
      </c>
      <c r="G572" s="8" t="s">
        <v>24</v>
      </c>
      <c r="H572" s="5" t="str">
        <f>IFERROR(__xludf.DUMMYFUNCTION("REGEXEXTRACT(B572, ""\((\d+)\)"")"),"3")</f>
        <v>3</v>
      </c>
      <c r="I572" s="5"/>
      <c r="J572" s="5"/>
      <c r="K572" s="5"/>
      <c r="L572" s="5"/>
    </row>
    <row r="573" ht="35.25" customHeight="1">
      <c r="A573" s="5">
        <v>572.0</v>
      </c>
      <c r="B573" s="14" t="s">
        <v>1146</v>
      </c>
      <c r="C573" s="6" t="str">
        <f>IFERROR(__xludf.DUMMYFUNCTION("REGEXEXTRACT(B573, ""^[A-Z0-9-]+"")"),"HS")</f>
        <v>HS</v>
      </c>
      <c r="D573" s="14" t="s">
        <v>1007</v>
      </c>
      <c r="E573" s="23" t="s">
        <v>10</v>
      </c>
      <c r="F573" s="14" t="s">
        <v>19</v>
      </c>
      <c r="G573" s="8" t="s">
        <v>27</v>
      </c>
      <c r="H573" s="5" t="str">
        <f>IFERROR(__xludf.DUMMYFUNCTION("REGEXEXTRACT(B573, ""\((\d+)\)"")"),"3")</f>
        <v>3</v>
      </c>
      <c r="I573" s="5"/>
      <c r="J573" s="5"/>
      <c r="K573" s="5"/>
      <c r="L573" s="5"/>
    </row>
    <row r="574" ht="35.25" customHeight="1">
      <c r="A574" s="5">
        <v>573.0</v>
      </c>
      <c r="B574" s="14" t="s">
        <v>1147</v>
      </c>
      <c r="C574" s="6" t="str">
        <f>IFERROR(__xludf.DUMMYFUNCTION("REGEXEXTRACT(B574, ""^[A-Z0-9-]+"")"),"HS-522")</f>
        <v>HS-522</v>
      </c>
      <c r="D574" s="14" t="s">
        <v>1148</v>
      </c>
      <c r="E574" s="23" t="s">
        <v>10</v>
      </c>
      <c r="F574" s="14" t="s">
        <v>19</v>
      </c>
      <c r="G574" s="8" t="s">
        <v>30</v>
      </c>
      <c r="H574" s="5" t="str">
        <f>IFERROR(__xludf.DUMMYFUNCTION("REGEXEXTRACT(B574, ""\((\d+)\)"")"),"3")</f>
        <v>3</v>
      </c>
      <c r="I574" s="5"/>
      <c r="J574" s="5"/>
      <c r="K574" s="5"/>
      <c r="L574" s="5"/>
    </row>
    <row r="575" ht="35.25" customHeight="1">
      <c r="A575" s="5">
        <v>574.0</v>
      </c>
      <c r="B575" s="14" t="s">
        <v>1149</v>
      </c>
      <c r="C575" s="6" t="str">
        <f>IFERROR(__xludf.DUMMYFUNCTION("REGEXEXTRACT(B575, ""^[A-Z0-9-]+"")"),"HS-522")</f>
        <v>HS-522</v>
      </c>
      <c r="D575" s="14" t="s">
        <v>1148</v>
      </c>
      <c r="E575" s="23" t="s">
        <v>10</v>
      </c>
      <c r="F575" s="14" t="s">
        <v>435</v>
      </c>
      <c r="G575" s="8" t="s">
        <v>33</v>
      </c>
      <c r="H575" s="5" t="str">
        <f>IFERROR(__xludf.DUMMYFUNCTION("REGEXEXTRACT(B575, ""\((\d+)\)"")"),"4")</f>
        <v>4</v>
      </c>
      <c r="I575" s="5"/>
      <c r="J575" s="5"/>
      <c r="K575" s="5"/>
      <c r="L575" s="5"/>
    </row>
    <row r="576" ht="35.25" customHeight="1">
      <c r="A576" s="5">
        <v>575.0</v>
      </c>
      <c r="B576" s="14" t="s">
        <v>1150</v>
      </c>
      <c r="C576" s="6" t="str">
        <f>IFERROR(__xludf.DUMMYFUNCTION("REGEXEXTRACT(B576, ""^[A-Z0-9-]+"")"),"HS")</f>
        <v>HS</v>
      </c>
      <c r="D576" s="14" t="s">
        <v>1151</v>
      </c>
      <c r="E576" s="23" t="s">
        <v>10</v>
      </c>
      <c r="F576" s="14" t="s">
        <v>19</v>
      </c>
      <c r="G576" s="8" t="s">
        <v>36</v>
      </c>
      <c r="H576" s="5" t="str">
        <f>IFERROR(__xludf.DUMMYFUNCTION("REGEXEXTRACT(B576, ""\((\d+)\)"")"),"3")</f>
        <v>3</v>
      </c>
      <c r="I576" s="5"/>
      <c r="J576" s="5"/>
      <c r="K576" s="5"/>
      <c r="L576" s="5"/>
    </row>
    <row r="577" ht="35.25" customHeight="1">
      <c r="A577" s="5">
        <v>576.0</v>
      </c>
      <c r="B577" s="14" t="s">
        <v>1152</v>
      </c>
      <c r="C577" s="6" t="str">
        <f>IFERROR(__xludf.DUMMYFUNCTION("REGEXEXTRACT(B577, ""^[A-Z0-9-]+"")"),"HS")</f>
        <v>HS</v>
      </c>
      <c r="D577" s="14" t="s">
        <v>1153</v>
      </c>
      <c r="E577" s="23" t="s">
        <v>10</v>
      </c>
      <c r="F577" s="14" t="s">
        <v>19</v>
      </c>
      <c r="G577" s="8" t="s">
        <v>39</v>
      </c>
      <c r="H577" s="5" t="str">
        <f>IFERROR(__xludf.DUMMYFUNCTION("REGEXEXTRACT(B577, ""\((\d+)\)"")"),"3")</f>
        <v>3</v>
      </c>
      <c r="I577" s="5"/>
      <c r="J577" s="5"/>
      <c r="K577" s="5"/>
      <c r="L577" s="5"/>
    </row>
    <row r="578" ht="35.25" customHeight="1">
      <c r="A578" s="5">
        <v>577.0</v>
      </c>
      <c r="B578" s="14" t="s">
        <v>1154</v>
      </c>
      <c r="C578" s="6" t="str">
        <f>IFERROR(__xludf.DUMMYFUNCTION("REGEXEXTRACT(B578, ""^[A-Z0-9-]+"")"),"HS")</f>
        <v>HS</v>
      </c>
      <c r="D578" s="14" t="s">
        <v>1155</v>
      </c>
      <c r="E578" s="23" t="s">
        <v>10</v>
      </c>
      <c r="F578" s="14" t="s">
        <v>19</v>
      </c>
      <c r="G578" s="8" t="s">
        <v>12</v>
      </c>
      <c r="H578" s="5" t="str">
        <f>IFERROR(__xludf.DUMMYFUNCTION("REGEXEXTRACT(B578, ""\((\d+)\)"")"),"3")</f>
        <v>3</v>
      </c>
      <c r="I578" s="5"/>
      <c r="J578" s="5"/>
      <c r="K578" s="5"/>
      <c r="L578" s="5"/>
    </row>
    <row r="579" ht="35.25" customHeight="1">
      <c r="A579" s="5">
        <v>578.0</v>
      </c>
      <c r="B579" s="14" t="s">
        <v>1156</v>
      </c>
      <c r="C579" s="6" t="str">
        <f>IFERROR(__xludf.DUMMYFUNCTION("REGEXEXTRACT(B579, ""^[A-Z0-9-]+"")"),"HS")</f>
        <v>HS</v>
      </c>
      <c r="D579" s="14" t="s">
        <v>1157</v>
      </c>
      <c r="E579" s="23" t="s">
        <v>10</v>
      </c>
      <c r="F579" s="14" t="s">
        <v>19</v>
      </c>
      <c r="G579" s="8" t="s">
        <v>16</v>
      </c>
      <c r="H579" s="5" t="str">
        <f>IFERROR(__xludf.DUMMYFUNCTION("REGEXEXTRACT(B579, ""\((\d+)\)"")"),"3")</f>
        <v>3</v>
      </c>
      <c r="I579" s="5"/>
      <c r="J579" s="5"/>
      <c r="K579" s="5"/>
      <c r="L579" s="5"/>
    </row>
    <row r="580" ht="35.25" customHeight="1">
      <c r="A580" s="5">
        <v>579.0</v>
      </c>
      <c r="B580" s="14" t="s">
        <v>1158</v>
      </c>
      <c r="C580" s="6" t="str">
        <f>IFERROR(__xludf.DUMMYFUNCTION("REGEXEXTRACT(B580, ""^[A-Z0-9-]+"")"),"HS")</f>
        <v>HS</v>
      </c>
      <c r="D580" s="14" t="s">
        <v>1159</v>
      </c>
      <c r="E580" s="23" t="s">
        <v>10</v>
      </c>
      <c r="F580" s="14" t="s">
        <v>19</v>
      </c>
      <c r="G580" s="8" t="s">
        <v>20</v>
      </c>
      <c r="H580" s="5" t="str">
        <f>IFERROR(__xludf.DUMMYFUNCTION("REGEXEXTRACT(B580, ""\((\d+)\)"")"),"3")</f>
        <v>3</v>
      </c>
      <c r="I580" s="5"/>
      <c r="J580" s="5"/>
      <c r="K580" s="5"/>
      <c r="L580" s="5"/>
    </row>
    <row r="581" ht="35.25" customHeight="1">
      <c r="A581" s="5">
        <v>580.0</v>
      </c>
      <c r="B581" s="14" t="s">
        <v>1160</v>
      </c>
      <c r="C581" s="6" t="str">
        <f>IFERROR(__xludf.DUMMYFUNCTION("REGEXEXTRACT(B581, ""^[A-Z0-9-]+"")"),"HS")</f>
        <v>HS</v>
      </c>
      <c r="D581" s="14" t="s">
        <v>1161</v>
      </c>
      <c r="E581" s="23" t="s">
        <v>10</v>
      </c>
      <c r="F581" s="14" t="s">
        <v>19</v>
      </c>
      <c r="G581" s="8" t="s">
        <v>24</v>
      </c>
      <c r="H581" s="5" t="str">
        <f>IFERROR(__xludf.DUMMYFUNCTION("REGEXEXTRACT(B581, ""\((\d+)\)"")"),"3")</f>
        <v>3</v>
      </c>
      <c r="I581" s="5"/>
      <c r="J581" s="5"/>
      <c r="K581" s="5"/>
      <c r="L581" s="5"/>
    </row>
    <row r="582" ht="50.25" customHeight="1">
      <c r="A582" s="5">
        <v>581.0</v>
      </c>
      <c r="B582" s="14" t="s">
        <v>1162</v>
      </c>
      <c r="C582" s="6" t="str">
        <f>IFERROR(__xludf.DUMMYFUNCTION("REGEXEXTRACT(B582, ""^[A-Z0-9-]+"")"),"HS-528")</f>
        <v>HS-528</v>
      </c>
      <c r="D582" s="14" t="s">
        <v>1161</v>
      </c>
      <c r="E582" s="23" t="s">
        <v>10</v>
      </c>
      <c r="F582" s="14" t="s">
        <v>19</v>
      </c>
      <c r="G582" s="8" t="s">
        <v>27</v>
      </c>
      <c r="H582" s="5" t="str">
        <f>IFERROR(__xludf.DUMMYFUNCTION("REGEXEXTRACT(B582, ""\((\d+)\)"")"),"3")</f>
        <v>3</v>
      </c>
      <c r="I582" s="5"/>
      <c r="J582" s="5"/>
      <c r="K582" s="5"/>
      <c r="L582" s="5"/>
    </row>
    <row r="583" ht="35.25" customHeight="1">
      <c r="A583" s="5">
        <v>582.0</v>
      </c>
      <c r="B583" s="14" t="s">
        <v>1163</v>
      </c>
      <c r="C583" s="6" t="str">
        <f>IFERROR(__xludf.DUMMYFUNCTION("REGEXEXTRACT(B583, ""^[A-Z0-9-]+"")"),"HS")</f>
        <v>HS</v>
      </c>
      <c r="D583" s="14" t="s">
        <v>1164</v>
      </c>
      <c r="E583" s="23" t="s">
        <v>10</v>
      </c>
      <c r="F583" s="14" t="s">
        <v>19</v>
      </c>
      <c r="G583" s="8" t="s">
        <v>30</v>
      </c>
      <c r="H583" s="5" t="str">
        <f>IFERROR(__xludf.DUMMYFUNCTION("REGEXEXTRACT(B583, ""\((\d+)\)"")"),"3")</f>
        <v>3</v>
      </c>
      <c r="I583" s="5"/>
      <c r="J583" s="5"/>
      <c r="K583" s="5"/>
      <c r="L583" s="5"/>
    </row>
    <row r="584" ht="35.25" customHeight="1">
      <c r="A584" s="5">
        <v>583.0</v>
      </c>
      <c r="B584" s="14" t="s">
        <v>1165</v>
      </c>
      <c r="C584" s="6" t="str">
        <f>IFERROR(__xludf.DUMMYFUNCTION("REGEXEXTRACT(B584, ""^[A-Z0-9-]+"")"),"HS")</f>
        <v>HS</v>
      </c>
      <c r="D584" s="14" t="s">
        <v>1166</v>
      </c>
      <c r="E584" s="23" t="s">
        <v>10</v>
      </c>
      <c r="F584" s="14" t="s">
        <v>19</v>
      </c>
      <c r="G584" s="8" t="s">
        <v>33</v>
      </c>
      <c r="H584" s="5" t="str">
        <f>IFERROR(__xludf.DUMMYFUNCTION("REGEXEXTRACT(B584, ""\((\d+)\)"")"),"3")</f>
        <v>3</v>
      </c>
      <c r="I584" s="5"/>
      <c r="J584" s="5"/>
      <c r="K584" s="5"/>
      <c r="L584" s="5"/>
    </row>
    <row r="585" ht="35.25" customHeight="1">
      <c r="A585" s="5">
        <v>584.0</v>
      </c>
      <c r="B585" s="14" t="s">
        <v>1167</v>
      </c>
      <c r="C585" s="6" t="str">
        <f>IFERROR(__xludf.DUMMYFUNCTION("REGEXEXTRACT(B585, ""^[A-Z0-9-]+"")"),"HS")</f>
        <v>HS</v>
      </c>
      <c r="D585" s="14" t="s">
        <v>1168</v>
      </c>
      <c r="E585" s="23" t="s">
        <v>10</v>
      </c>
      <c r="F585" s="14" t="s">
        <v>19</v>
      </c>
      <c r="G585" s="8" t="s">
        <v>36</v>
      </c>
      <c r="H585" s="5" t="str">
        <f>IFERROR(__xludf.DUMMYFUNCTION("REGEXEXTRACT(B585, ""\((\d+)\)"")"),"3")</f>
        <v>3</v>
      </c>
      <c r="I585" s="5"/>
      <c r="J585" s="5"/>
      <c r="K585" s="5"/>
      <c r="L585" s="5"/>
    </row>
    <row r="586" ht="35.25" customHeight="1">
      <c r="A586" s="5">
        <v>585.0</v>
      </c>
      <c r="B586" s="14" t="s">
        <v>1169</v>
      </c>
      <c r="C586" s="6" t="str">
        <f>IFERROR(__xludf.DUMMYFUNCTION("REGEXEXTRACT(B586, ""^[A-Z0-9-]+"")"),"HS")</f>
        <v>HS</v>
      </c>
      <c r="D586" s="14" t="s">
        <v>1170</v>
      </c>
      <c r="E586" s="23" t="s">
        <v>10</v>
      </c>
      <c r="F586" s="14" t="s">
        <v>19</v>
      </c>
      <c r="G586" s="8" t="s">
        <v>39</v>
      </c>
      <c r="H586" s="5" t="str">
        <f>IFERROR(__xludf.DUMMYFUNCTION("REGEXEXTRACT(B586, ""\((\d+)\)"")"),"3")</f>
        <v>3</v>
      </c>
      <c r="I586" s="5"/>
      <c r="J586" s="5"/>
      <c r="K586" s="5"/>
      <c r="L586" s="5"/>
    </row>
    <row r="587" ht="35.25" customHeight="1">
      <c r="A587" s="5">
        <v>586.0</v>
      </c>
      <c r="B587" s="14" t="s">
        <v>1171</v>
      </c>
      <c r="C587" s="6" t="str">
        <f>IFERROR(__xludf.DUMMYFUNCTION("REGEXEXTRACT(B587, ""^[A-Z0-9-]+"")"),"HS")</f>
        <v>HS</v>
      </c>
      <c r="D587" s="14" t="s">
        <v>1172</v>
      </c>
      <c r="E587" s="23" t="s">
        <v>10</v>
      </c>
      <c r="F587" s="14" t="s">
        <v>19</v>
      </c>
      <c r="G587" s="8" t="s">
        <v>12</v>
      </c>
      <c r="H587" s="5" t="str">
        <f>IFERROR(__xludf.DUMMYFUNCTION("REGEXEXTRACT(B587, ""\((\d+)\)"")"),"3")</f>
        <v>3</v>
      </c>
      <c r="I587" s="5"/>
      <c r="J587" s="5"/>
      <c r="K587" s="5"/>
      <c r="L587" s="5"/>
    </row>
    <row r="588" ht="35.25" customHeight="1">
      <c r="A588" s="5">
        <v>587.0</v>
      </c>
      <c r="B588" s="14" t="s">
        <v>1173</v>
      </c>
      <c r="C588" s="6" t="str">
        <f>IFERROR(__xludf.DUMMYFUNCTION("REGEXEXTRACT(B588, ""^[A-Z0-9-]+"")"),"HS")</f>
        <v>HS</v>
      </c>
      <c r="D588" s="14" t="s">
        <v>1174</v>
      </c>
      <c r="E588" s="23" t="s">
        <v>10</v>
      </c>
      <c r="F588" s="14" t="s">
        <v>19</v>
      </c>
      <c r="G588" s="8" t="s">
        <v>16</v>
      </c>
      <c r="H588" s="5" t="str">
        <f>IFERROR(__xludf.DUMMYFUNCTION("REGEXEXTRACT(B588, ""\((\d+)\)"")"),"3")</f>
        <v>3</v>
      </c>
      <c r="I588" s="5"/>
      <c r="J588" s="5"/>
      <c r="K588" s="5"/>
      <c r="L588" s="5"/>
    </row>
    <row r="589" ht="35.25" customHeight="1">
      <c r="A589" s="5">
        <v>588.0</v>
      </c>
      <c r="B589" s="14" t="s">
        <v>1175</v>
      </c>
      <c r="C589" s="6" t="str">
        <f>IFERROR(__xludf.DUMMYFUNCTION("REGEXEXTRACT(B589, ""^[A-Z0-9-]+"")"),"HS")</f>
        <v>HS</v>
      </c>
      <c r="D589" s="14" t="s">
        <v>1176</v>
      </c>
      <c r="E589" s="23" t="s">
        <v>10</v>
      </c>
      <c r="F589" s="14" t="s">
        <v>19</v>
      </c>
      <c r="G589" s="8" t="s">
        <v>20</v>
      </c>
      <c r="H589" s="5" t="str">
        <f>IFERROR(__xludf.DUMMYFUNCTION("REGEXEXTRACT(B589, ""\((\d+)\)"")"),"3")</f>
        <v>3</v>
      </c>
      <c r="I589" s="5"/>
      <c r="J589" s="5"/>
      <c r="K589" s="5"/>
      <c r="L589" s="5"/>
    </row>
    <row r="590" ht="35.25" customHeight="1">
      <c r="A590" s="5">
        <v>589.0</v>
      </c>
      <c r="B590" s="14" t="s">
        <v>1177</v>
      </c>
      <c r="C590" s="6" t="str">
        <f>IFERROR(__xludf.DUMMYFUNCTION("REGEXEXTRACT(B590, ""^[A-Z0-9-]+"")"),"HS-536")</f>
        <v>HS-536</v>
      </c>
      <c r="D590" s="14" t="s">
        <v>1178</v>
      </c>
      <c r="E590" s="23" t="s">
        <v>10</v>
      </c>
      <c r="F590" s="14" t="s">
        <v>19</v>
      </c>
      <c r="G590" s="8" t="s">
        <v>24</v>
      </c>
      <c r="H590" s="5" t="str">
        <f>IFERROR(__xludf.DUMMYFUNCTION("REGEXEXTRACT(B590, ""\((\d+)\)"")"),"3")</f>
        <v>3</v>
      </c>
      <c r="I590" s="5"/>
      <c r="J590" s="5"/>
      <c r="K590" s="5"/>
      <c r="L590" s="5"/>
    </row>
    <row r="591" ht="35.25" customHeight="1">
      <c r="A591" s="5">
        <v>590.0</v>
      </c>
      <c r="B591" s="14" t="s">
        <v>1179</v>
      </c>
      <c r="C591" s="6" t="str">
        <f>IFERROR(__xludf.DUMMYFUNCTION("REGEXEXTRACT(B591, ""^[A-Z0-9-]+"")"),"HS")</f>
        <v>HS</v>
      </c>
      <c r="D591" s="14" t="s">
        <v>1180</v>
      </c>
      <c r="E591" s="23" t="s">
        <v>10</v>
      </c>
      <c r="F591" s="14" t="s">
        <v>19</v>
      </c>
      <c r="G591" s="8" t="s">
        <v>27</v>
      </c>
      <c r="H591" s="5" t="str">
        <f>IFERROR(__xludf.DUMMYFUNCTION("REGEXEXTRACT(B591, ""\((\d+)\)"")"),"3")</f>
        <v>3</v>
      </c>
      <c r="I591" s="5"/>
      <c r="J591" s="5"/>
      <c r="K591" s="5"/>
      <c r="L591" s="5"/>
    </row>
    <row r="592" ht="35.25" customHeight="1">
      <c r="A592" s="5">
        <v>591.0</v>
      </c>
      <c r="B592" s="14" t="s">
        <v>1181</v>
      </c>
      <c r="C592" s="6" t="str">
        <f>IFERROR(__xludf.DUMMYFUNCTION("REGEXEXTRACT(B592, ""^[A-Z0-9-]+"")"),"HS")</f>
        <v>HS</v>
      </c>
      <c r="D592" s="14" t="s">
        <v>1182</v>
      </c>
      <c r="E592" s="23" t="s">
        <v>10</v>
      </c>
      <c r="F592" s="14" t="s">
        <v>19</v>
      </c>
      <c r="G592" s="8" t="s">
        <v>30</v>
      </c>
      <c r="H592" s="5" t="str">
        <f>IFERROR(__xludf.DUMMYFUNCTION("REGEXEXTRACT(B592, ""\((\d+)\)"")"),"3")</f>
        <v>3</v>
      </c>
      <c r="I592" s="5"/>
      <c r="J592" s="5"/>
      <c r="K592" s="5"/>
      <c r="L592" s="5"/>
    </row>
    <row r="593" ht="35.25" customHeight="1">
      <c r="A593" s="5">
        <v>592.0</v>
      </c>
      <c r="B593" s="14" t="s">
        <v>1183</v>
      </c>
      <c r="C593" s="6" t="str">
        <f>IFERROR(__xludf.DUMMYFUNCTION("REGEXEXTRACT(B593, ""^[A-Z0-9-]+"")"),"HS")</f>
        <v>HS</v>
      </c>
      <c r="D593" s="14" t="s">
        <v>1184</v>
      </c>
      <c r="E593" s="23" t="s">
        <v>10</v>
      </c>
      <c r="F593" s="14" t="s">
        <v>19</v>
      </c>
      <c r="G593" s="8" t="s">
        <v>33</v>
      </c>
      <c r="H593" s="5" t="str">
        <f>IFERROR(__xludf.DUMMYFUNCTION("REGEXEXTRACT(B593, ""\((\d+)\)"")"),"3")</f>
        <v>3</v>
      </c>
      <c r="I593" s="5"/>
      <c r="J593" s="5"/>
      <c r="K593" s="5"/>
      <c r="L593" s="5"/>
    </row>
    <row r="594" ht="35.25" customHeight="1">
      <c r="A594" s="5">
        <v>593.0</v>
      </c>
      <c r="B594" s="14" t="s">
        <v>1185</v>
      </c>
      <c r="C594" s="6" t="str">
        <f>IFERROR(__xludf.DUMMYFUNCTION("REGEXEXTRACT(B594, ""^[A-Z0-9-]+"")"),"HS")</f>
        <v>HS</v>
      </c>
      <c r="D594" s="14" t="s">
        <v>939</v>
      </c>
      <c r="E594" s="23" t="s">
        <v>10</v>
      </c>
      <c r="F594" s="14" t="s">
        <v>77</v>
      </c>
      <c r="G594" s="8" t="s">
        <v>36</v>
      </c>
      <c r="H594" s="5" t="str">
        <f>IFERROR(__xludf.DUMMYFUNCTION("REGEXEXTRACT(B594, ""\((\d+)\)"")"),"1")</f>
        <v>1</v>
      </c>
      <c r="I594" s="5"/>
      <c r="J594" s="5"/>
      <c r="K594" s="5"/>
      <c r="L594" s="5"/>
    </row>
    <row r="595" ht="35.25" customHeight="1">
      <c r="A595" s="5">
        <v>594.0</v>
      </c>
      <c r="B595" s="14" t="s">
        <v>1186</v>
      </c>
      <c r="C595" s="6" t="str">
        <f>IFERROR(__xludf.DUMMYFUNCTION("REGEXEXTRACT(B595, ""^[A-Z0-9-]+"")"),"HS")</f>
        <v>HS</v>
      </c>
      <c r="D595" s="14" t="s">
        <v>1187</v>
      </c>
      <c r="E595" s="23" t="s">
        <v>10</v>
      </c>
      <c r="F595" s="14" t="s">
        <v>19</v>
      </c>
      <c r="G595" s="8" t="s">
        <v>39</v>
      </c>
      <c r="H595" s="5" t="str">
        <f>IFERROR(__xludf.DUMMYFUNCTION("REGEXEXTRACT(B595, ""\((\d+)\)"")"),"3")</f>
        <v>3</v>
      </c>
      <c r="I595" s="5"/>
      <c r="J595" s="5"/>
      <c r="K595" s="5"/>
      <c r="L595" s="5"/>
    </row>
    <row r="596" ht="35.25" customHeight="1">
      <c r="A596" s="5">
        <v>595.0</v>
      </c>
      <c r="B596" s="14" t="s">
        <v>1188</v>
      </c>
      <c r="C596" s="6" t="str">
        <f>IFERROR(__xludf.DUMMYFUNCTION("REGEXEXTRACT(B596, ""^[A-Z0-9-]+"")"),"HS")</f>
        <v>HS</v>
      </c>
      <c r="D596" s="14" t="s">
        <v>1189</v>
      </c>
      <c r="E596" s="23" t="s">
        <v>10</v>
      </c>
      <c r="F596" s="14" t="s">
        <v>19</v>
      </c>
      <c r="G596" s="8" t="s">
        <v>12</v>
      </c>
      <c r="H596" s="5" t="str">
        <f>IFERROR(__xludf.DUMMYFUNCTION("REGEXEXTRACT(B596, ""\((\d+)\)"")"),"3")</f>
        <v>3</v>
      </c>
      <c r="I596" s="5"/>
      <c r="J596" s="5"/>
      <c r="K596" s="5"/>
      <c r="L596" s="5"/>
    </row>
    <row r="597" ht="35.25" customHeight="1">
      <c r="A597" s="5">
        <v>596.0</v>
      </c>
      <c r="B597" s="14" t="s">
        <v>1190</v>
      </c>
      <c r="C597" s="6" t="str">
        <f>IFERROR(__xludf.DUMMYFUNCTION("REGEXEXTRACT(B597, ""^[A-Z0-9-]+"")"),"HS")</f>
        <v>HS</v>
      </c>
      <c r="D597" s="14" t="s">
        <v>1191</v>
      </c>
      <c r="E597" s="23" t="s">
        <v>10</v>
      </c>
      <c r="F597" s="14" t="s">
        <v>19</v>
      </c>
      <c r="G597" s="8" t="s">
        <v>16</v>
      </c>
      <c r="H597" s="5" t="str">
        <f>IFERROR(__xludf.DUMMYFUNCTION("REGEXEXTRACT(B597, ""\((\d+)\)"")"),"3")</f>
        <v>3</v>
      </c>
      <c r="I597" s="5"/>
      <c r="J597" s="5"/>
      <c r="K597" s="5"/>
      <c r="L597" s="5"/>
    </row>
    <row r="598" ht="35.25" customHeight="1">
      <c r="A598" s="5">
        <v>597.0</v>
      </c>
      <c r="B598" s="14" t="s">
        <v>1192</v>
      </c>
      <c r="C598" s="6" t="str">
        <f>IFERROR(__xludf.DUMMYFUNCTION("REGEXEXTRACT(B598, ""^[A-Z0-9-]+"")"),"HS")</f>
        <v>HS</v>
      </c>
      <c r="D598" s="14" t="s">
        <v>1193</v>
      </c>
      <c r="E598" s="23" t="s">
        <v>10</v>
      </c>
      <c r="F598" s="14" t="s">
        <v>15</v>
      </c>
      <c r="G598" s="8" t="s">
        <v>20</v>
      </c>
      <c r="H598" s="5" t="str">
        <f>IFERROR(__xludf.DUMMYFUNCTION("REGEXEXTRACT(B598, ""\((\d+)\)"")"),"4")</f>
        <v>4</v>
      </c>
      <c r="I598" s="5"/>
      <c r="J598" s="5"/>
      <c r="K598" s="5"/>
      <c r="L598" s="5"/>
    </row>
    <row r="599" ht="35.25" customHeight="1">
      <c r="A599" s="5">
        <v>598.0</v>
      </c>
      <c r="B599" s="6" t="s">
        <v>1194</v>
      </c>
      <c r="C599" s="6" t="str">
        <f>IFERROR(__xludf.DUMMYFUNCTION("REGEXEXTRACT(B599, ""^[A-Z0-9-]+"")"),"HS-546")</f>
        <v>HS-546</v>
      </c>
      <c r="D599" s="6" t="s">
        <v>1195</v>
      </c>
      <c r="E599" s="23" t="s">
        <v>10</v>
      </c>
      <c r="F599" s="6" t="s">
        <v>19</v>
      </c>
      <c r="G599" s="8" t="s">
        <v>24</v>
      </c>
      <c r="H599" s="5" t="str">
        <f>IFERROR(__xludf.DUMMYFUNCTION("REGEXEXTRACT(B599, ""\((\d+)\)"")"),"3")</f>
        <v>3</v>
      </c>
      <c r="I599" s="5"/>
      <c r="J599" s="5"/>
      <c r="K599" s="5"/>
      <c r="L599" s="5"/>
    </row>
    <row r="600" ht="35.25" customHeight="1">
      <c r="A600" s="5">
        <v>599.0</v>
      </c>
      <c r="B600" s="6" t="s">
        <v>1196</v>
      </c>
      <c r="C600" s="6" t="str">
        <f>IFERROR(__xludf.DUMMYFUNCTION("REGEXEXTRACT(B600, ""^[A-Z0-9-]+"")"),"HS-547")</f>
        <v>HS-547</v>
      </c>
      <c r="D600" s="6" t="s">
        <v>1197</v>
      </c>
      <c r="E600" s="23" t="s">
        <v>10</v>
      </c>
      <c r="F600" s="6" t="s">
        <v>19</v>
      </c>
      <c r="G600" s="8" t="s">
        <v>27</v>
      </c>
      <c r="H600" s="5" t="str">
        <f>IFERROR(__xludf.DUMMYFUNCTION("REGEXEXTRACT(B600, ""\((\d+)\)"")"),"3")</f>
        <v>3</v>
      </c>
      <c r="I600" s="5"/>
      <c r="J600" s="5"/>
      <c r="K600" s="5"/>
      <c r="L600" s="5"/>
    </row>
    <row r="601" ht="35.25" customHeight="1">
      <c r="A601" s="5">
        <v>600.0</v>
      </c>
      <c r="B601" s="6" t="s">
        <v>1198</v>
      </c>
      <c r="C601" s="6" t="str">
        <f>IFERROR(__xludf.DUMMYFUNCTION("REGEXEXTRACT(B601, ""^[A-Z0-9-]+"")"),"HS-548")</f>
        <v>HS-548</v>
      </c>
      <c r="D601" s="6" t="s">
        <v>1199</v>
      </c>
      <c r="E601" s="23" t="s">
        <v>10</v>
      </c>
      <c r="F601" s="6" t="s">
        <v>19</v>
      </c>
      <c r="G601" s="8" t="s">
        <v>30</v>
      </c>
      <c r="H601" s="5" t="str">
        <f>IFERROR(__xludf.DUMMYFUNCTION("REGEXEXTRACT(B601, ""\((\d+)\)"")"),"3")</f>
        <v>3</v>
      </c>
      <c r="I601" s="5"/>
      <c r="J601" s="5"/>
      <c r="K601" s="5"/>
      <c r="L601" s="5"/>
    </row>
    <row r="602" ht="35.25" customHeight="1">
      <c r="A602" s="5">
        <v>601.0</v>
      </c>
      <c r="B602" s="6" t="s">
        <v>1200</v>
      </c>
      <c r="C602" s="6" t="str">
        <f>IFERROR(__xludf.DUMMYFUNCTION("REGEXEXTRACT(B602, ""^[A-Z0-9-]+"")"),"HS-549")</f>
        <v>HS-549</v>
      </c>
      <c r="D602" s="6" t="s">
        <v>1201</v>
      </c>
      <c r="E602" s="23" t="s">
        <v>10</v>
      </c>
      <c r="F602" s="6" t="s">
        <v>19</v>
      </c>
      <c r="G602" s="8" t="s">
        <v>33</v>
      </c>
      <c r="H602" s="5" t="str">
        <f>IFERROR(__xludf.DUMMYFUNCTION("REGEXEXTRACT(B602, ""\((\d+)\)"")"),"3")</f>
        <v>3</v>
      </c>
      <c r="I602" s="5"/>
      <c r="J602" s="5"/>
      <c r="K602" s="5"/>
      <c r="L602" s="5"/>
    </row>
    <row r="603" ht="35.25" customHeight="1">
      <c r="A603" s="5">
        <v>602.0</v>
      </c>
      <c r="B603" s="14" t="s">
        <v>1202</v>
      </c>
      <c r="C603" s="6" t="str">
        <f>IFERROR(__xludf.DUMMYFUNCTION("REGEXEXTRACT(B603, ""^[A-Z0-9-]+"")"),"HS")</f>
        <v>HS</v>
      </c>
      <c r="D603" s="6" t="s">
        <v>1203</v>
      </c>
      <c r="E603" s="23" t="s">
        <v>10</v>
      </c>
      <c r="F603" s="14" t="s">
        <v>15</v>
      </c>
      <c r="G603" s="8" t="s">
        <v>36</v>
      </c>
      <c r="H603" s="5" t="str">
        <f>IFERROR(__xludf.DUMMYFUNCTION("REGEXEXTRACT(B603, ""\((\d+)\)"")"),"4")</f>
        <v>4</v>
      </c>
      <c r="I603" s="5"/>
      <c r="J603" s="5"/>
      <c r="K603" s="5"/>
      <c r="L603" s="5"/>
    </row>
    <row r="604" ht="35.25" customHeight="1">
      <c r="A604" s="5">
        <v>603.0</v>
      </c>
      <c r="B604" s="14" t="s">
        <v>1204</v>
      </c>
      <c r="C604" s="6" t="str">
        <f>IFERROR(__xludf.DUMMYFUNCTION("REGEXEXTRACT(B604, ""^[A-Z0-9-]+"")"),"HS")</f>
        <v>HS</v>
      </c>
      <c r="D604" s="14" t="s">
        <v>1205</v>
      </c>
      <c r="E604" s="23" t="s">
        <v>10</v>
      </c>
      <c r="F604" s="14" t="s">
        <v>82</v>
      </c>
      <c r="G604" s="8" t="s">
        <v>39</v>
      </c>
      <c r="H604" s="5" t="str">
        <f>IFERROR(__xludf.DUMMYFUNCTION("REGEXEXTRACT(B604, ""\((\d+)\)"")"),"1")</f>
        <v>1</v>
      </c>
      <c r="I604" s="5"/>
      <c r="J604" s="5"/>
      <c r="K604" s="5"/>
      <c r="L604" s="5"/>
    </row>
    <row r="605" ht="35.25" customHeight="1">
      <c r="A605" s="5">
        <v>604.0</v>
      </c>
      <c r="B605" s="14" t="s">
        <v>1206</v>
      </c>
      <c r="C605" s="6" t="str">
        <f>IFERROR(__xludf.DUMMYFUNCTION("REGEXEXTRACT(B605, ""^[A-Z0-9-]+"")"),"HS")</f>
        <v>HS</v>
      </c>
      <c r="D605" s="14" t="s">
        <v>1127</v>
      </c>
      <c r="E605" s="23" t="s">
        <v>10</v>
      </c>
      <c r="F605" s="14" t="s">
        <v>19</v>
      </c>
      <c r="G605" s="8" t="s">
        <v>12</v>
      </c>
      <c r="H605" s="5" t="str">
        <f>IFERROR(__xludf.DUMMYFUNCTION("REGEXEXTRACT(B605, ""\((\d+)\)"")"),"3")</f>
        <v>3</v>
      </c>
      <c r="I605" s="5"/>
      <c r="J605" s="5"/>
      <c r="K605" s="5"/>
      <c r="L605" s="5"/>
    </row>
    <row r="606" ht="35.25" customHeight="1">
      <c r="A606" s="5">
        <v>605.0</v>
      </c>
      <c r="B606" s="14" t="s">
        <v>1207</v>
      </c>
      <c r="C606" s="6" t="str">
        <f>IFERROR(__xludf.DUMMYFUNCTION("REGEXEXTRACT(B606, ""^[A-Z0-9-]+"")"),"HS")</f>
        <v>HS</v>
      </c>
      <c r="D606" s="14" t="s">
        <v>1208</v>
      </c>
      <c r="E606" s="23" t="s">
        <v>10</v>
      </c>
      <c r="F606" s="14" t="s">
        <v>92</v>
      </c>
      <c r="G606" s="8" t="s">
        <v>16</v>
      </c>
      <c r="H606" s="5" t="str">
        <f>IFERROR(__xludf.DUMMYFUNCTION("REGEXEXTRACT(B606, ""\((\d+)\)"")"),"4")</f>
        <v>4</v>
      </c>
      <c r="I606" s="5"/>
      <c r="J606" s="5"/>
      <c r="K606" s="5"/>
      <c r="L606" s="5"/>
    </row>
    <row r="607" ht="35.25" customHeight="1">
      <c r="A607" s="5">
        <v>606.0</v>
      </c>
      <c r="B607" s="14" t="s">
        <v>1209</v>
      </c>
      <c r="C607" s="6" t="str">
        <f>IFERROR(__xludf.DUMMYFUNCTION("REGEXEXTRACT(B607, ""^[A-Z0-9-]+"")"),"HS")</f>
        <v>HS</v>
      </c>
      <c r="D607" s="14" t="s">
        <v>1210</v>
      </c>
      <c r="E607" s="23" t="s">
        <v>10</v>
      </c>
      <c r="F607" s="14" t="s">
        <v>92</v>
      </c>
      <c r="G607" s="8" t="s">
        <v>20</v>
      </c>
      <c r="H607" s="5" t="str">
        <f>IFERROR(__xludf.DUMMYFUNCTION("REGEXEXTRACT(B607, ""\((\d+)\)"")"),"4")</f>
        <v>4</v>
      </c>
      <c r="I607" s="5"/>
      <c r="J607" s="5"/>
      <c r="K607" s="5"/>
      <c r="L607" s="5"/>
    </row>
    <row r="608" ht="35.25" customHeight="1">
      <c r="A608" s="5">
        <v>607.0</v>
      </c>
      <c r="B608" s="14" t="s">
        <v>1211</v>
      </c>
      <c r="C608" s="6" t="str">
        <f>IFERROR(__xludf.DUMMYFUNCTION("REGEXEXTRACT(B608, ""^[A-Z0-9-]+"")"),"HS")</f>
        <v>HS</v>
      </c>
      <c r="D608" s="14" t="s">
        <v>1212</v>
      </c>
      <c r="E608" s="23" t="s">
        <v>10</v>
      </c>
      <c r="F608" s="14" t="s">
        <v>92</v>
      </c>
      <c r="G608" s="8" t="s">
        <v>24</v>
      </c>
      <c r="H608" s="5" t="str">
        <f>IFERROR(__xludf.DUMMYFUNCTION("REGEXEXTRACT(B608, ""\((\d+)\)"")"),"4")</f>
        <v>4</v>
      </c>
      <c r="I608" s="5"/>
      <c r="J608" s="5"/>
      <c r="K608" s="5"/>
      <c r="L608" s="5"/>
    </row>
    <row r="609" ht="35.25" customHeight="1">
      <c r="A609" s="5">
        <v>608.0</v>
      </c>
      <c r="B609" s="14" t="s">
        <v>1213</v>
      </c>
      <c r="C609" s="6" t="str">
        <f>IFERROR(__xludf.DUMMYFUNCTION("REGEXEXTRACT(B609, ""^[A-Z0-9-]+"")"),"HS")</f>
        <v>HS</v>
      </c>
      <c r="D609" s="14" t="s">
        <v>1214</v>
      </c>
      <c r="E609" s="15" t="s">
        <v>87</v>
      </c>
      <c r="F609" s="14" t="s">
        <v>1215</v>
      </c>
      <c r="G609" s="8" t="s">
        <v>27</v>
      </c>
      <c r="H609" s="5" t="str">
        <f>IFERROR(__xludf.DUMMYFUNCTION("REGEXEXTRACT(B609, ""\((\d+)\)"")"),"23")</f>
        <v>23</v>
      </c>
      <c r="I609" s="5"/>
      <c r="J609" s="5"/>
      <c r="K609" s="5"/>
      <c r="L609" s="5"/>
    </row>
    <row r="610" ht="35.25" customHeight="1">
      <c r="A610" s="5">
        <v>609.0</v>
      </c>
      <c r="B610" s="14" t="s">
        <v>1213</v>
      </c>
      <c r="C610" s="6" t="str">
        <f>IFERROR(__xludf.DUMMYFUNCTION("REGEXEXTRACT(B610, ""^[A-Z0-9-]+"")"),"HS")</f>
        <v>HS</v>
      </c>
      <c r="D610" s="14" t="s">
        <v>1216</v>
      </c>
      <c r="E610" s="15" t="s">
        <v>87</v>
      </c>
      <c r="F610" s="14" t="s">
        <v>1215</v>
      </c>
      <c r="G610" s="8" t="s">
        <v>30</v>
      </c>
      <c r="H610" s="5" t="str">
        <f>IFERROR(__xludf.DUMMYFUNCTION("REGEXEXTRACT(B610, ""\((\d+)\)"")"),"23")</f>
        <v>23</v>
      </c>
      <c r="I610" s="5"/>
      <c r="J610" s="5"/>
      <c r="K610" s="5"/>
      <c r="L610" s="5"/>
    </row>
    <row r="611" ht="35.25" customHeight="1">
      <c r="A611" s="5">
        <v>610.0</v>
      </c>
      <c r="B611" s="14" t="s">
        <v>1217</v>
      </c>
      <c r="C611" s="6" t="str">
        <f>IFERROR(__xludf.DUMMYFUNCTION("REGEXEXTRACT(B611, ""^[A-Z0-9-]+"")"),"HS")</f>
        <v>HS</v>
      </c>
      <c r="D611" s="14" t="s">
        <v>1216</v>
      </c>
      <c r="E611" s="19" t="s">
        <v>10</v>
      </c>
      <c r="F611" s="14" t="s">
        <v>1218</v>
      </c>
      <c r="G611" s="8" t="s">
        <v>33</v>
      </c>
      <c r="H611" s="5" t="str">
        <f>IFERROR(__xludf.DUMMYFUNCTION("REGEXEXTRACT(B611, ""\((\d+)\)"")"),"22")</f>
        <v>22</v>
      </c>
      <c r="I611" s="5"/>
      <c r="J611" s="5"/>
      <c r="K611" s="5"/>
      <c r="L611" s="5"/>
    </row>
    <row r="612" ht="35.25" customHeight="1">
      <c r="A612" s="5">
        <v>611.0</v>
      </c>
      <c r="B612" s="22" t="s">
        <v>1219</v>
      </c>
      <c r="C612" s="6" t="str">
        <f>IFERROR(__xludf.DUMMYFUNCTION("REGEXEXTRACT(B612, ""^[A-Z0-9-]+"")"),"HS-555")</f>
        <v>HS-555</v>
      </c>
      <c r="D612" s="22" t="s">
        <v>1220</v>
      </c>
      <c r="E612" s="23" t="s">
        <v>10</v>
      </c>
      <c r="F612" s="22" t="s">
        <v>19</v>
      </c>
      <c r="G612" s="8" t="s">
        <v>36</v>
      </c>
      <c r="H612" s="5" t="str">
        <f>IFERROR(__xludf.DUMMYFUNCTION("REGEXEXTRACT(B612, ""\((\d+)\)"")"),"3")</f>
        <v>3</v>
      </c>
      <c r="I612" s="5"/>
      <c r="J612" s="5"/>
      <c r="K612" s="5"/>
      <c r="L612" s="5"/>
    </row>
    <row r="613" ht="35.25" customHeight="1">
      <c r="A613" s="5">
        <v>612.0</v>
      </c>
      <c r="B613" s="6" t="s">
        <v>1221</v>
      </c>
      <c r="C613" s="6" t="str">
        <f>IFERROR(__xludf.DUMMYFUNCTION("REGEXEXTRACT(B613, ""^[A-Z0-9-]+"")"),"HS-556")</f>
        <v>HS-556</v>
      </c>
      <c r="D613" s="6" t="s">
        <v>1222</v>
      </c>
      <c r="E613" s="23" t="s">
        <v>10</v>
      </c>
      <c r="F613" s="6" t="s">
        <v>19</v>
      </c>
      <c r="G613" s="8" t="s">
        <v>39</v>
      </c>
      <c r="H613" s="5" t="str">
        <f>IFERROR(__xludf.DUMMYFUNCTION("REGEXEXTRACT(B613, ""\((\d+)\)"")"),"3")</f>
        <v>3</v>
      </c>
      <c r="I613" s="5"/>
      <c r="J613" s="5"/>
      <c r="K613" s="5"/>
      <c r="L613" s="5"/>
    </row>
    <row r="614" ht="35.25" customHeight="1">
      <c r="A614" s="5">
        <v>613.0</v>
      </c>
      <c r="B614" s="14" t="s">
        <v>1223</v>
      </c>
      <c r="C614" s="6" t="str">
        <f>IFERROR(__xludf.DUMMYFUNCTION("REGEXEXTRACT(B614, ""^[A-Z0-9-]+"")"),"HS-563")</f>
        <v>HS-563</v>
      </c>
      <c r="D614" s="14" t="s">
        <v>1224</v>
      </c>
      <c r="E614" s="23" t="s">
        <v>10</v>
      </c>
      <c r="F614" s="14" t="s">
        <v>19</v>
      </c>
      <c r="G614" s="8" t="s">
        <v>12</v>
      </c>
      <c r="H614" s="5" t="str">
        <f>IFERROR(__xludf.DUMMYFUNCTION("REGEXEXTRACT(B614, ""\((\d+)\)"")"),"3")</f>
        <v>3</v>
      </c>
      <c r="I614" s="5"/>
      <c r="J614" s="5"/>
      <c r="K614" s="5"/>
      <c r="L614" s="5"/>
    </row>
    <row r="615" ht="35.25" customHeight="1">
      <c r="A615" s="5">
        <v>614.0</v>
      </c>
      <c r="B615" s="14" t="s">
        <v>1225</v>
      </c>
      <c r="C615" s="6" t="str">
        <f>IFERROR(__xludf.DUMMYFUNCTION("REGEXEXTRACT(B615, ""^[A-Z0-9-]+"")"),"HS-575")</f>
        <v>HS-575</v>
      </c>
      <c r="D615" s="14" t="s">
        <v>1226</v>
      </c>
      <c r="E615" s="23" t="s">
        <v>10</v>
      </c>
      <c r="F615" s="14" t="s">
        <v>19</v>
      </c>
      <c r="G615" s="8" t="s">
        <v>16</v>
      </c>
      <c r="H615" s="5" t="str">
        <f>IFERROR(__xludf.DUMMYFUNCTION("REGEXEXTRACT(B615, ""\((\d+)\)"")"),"3")</f>
        <v>3</v>
      </c>
      <c r="I615" s="5"/>
      <c r="J615" s="5"/>
      <c r="K615" s="5"/>
      <c r="L615" s="5"/>
    </row>
    <row r="616" ht="35.25" customHeight="1">
      <c r="A616" s="5">
        <v>615.0</v>
      </c>
      <c r="B616" s="14" t="s">
        <v>1227</v>
      </c>
      <c r="C616" s="6" t="str">
        <f>IFERROR(__xludf.DUMMYFUNCTION("REGEXEXTRACT(B616, ""^[A-Z0-9-]+"")"),"HS-582")</f>
        <v>HS-582</v>
      </c>
      <c r="D616" s="14" t="s">
        <v>1228</v>
      </c>
      <c r="E616" s="23" t="s">
        <v>10</v>
      </c>
      <c r="F616" s="14" t="s">
        <v>19</v>
      </c>
      <c r="G616" s="8" t="s">
        <v>20</v>
      </c>
      <c r="H616" s="5" t="str">
        <f>IFERROR(__xludf.DUMMYFUNCTION("REGEXEXTRACT(B616, ""\((\d+)\)"")"),"3")</f>
        <v>3</v>
      </c>
      <c r="I616" s="5"/>
      <c r="J616" s="5"/>
      <c r="K616" s="5"/>
      <c r="L616" s="5"/>
    </row>
    <row r="617" ht="35.25" customHeight="1">
      <c r="A617" s="5">
        <v>616.0</v>
      </c>
      <c r="B617" s="22" t="s">
        <v>1229</v>
      </c>
      <c r="C617" s="6" t="str">
        <f>IFERROR(__xludf.DUMMYFUNCTION("REGEXEXTRACT(B617, ""^[A-Z0-9-]+"")"),"HS-600")</f>
        <v>HS-600</v>
      </c>
      <c r="D617" s="22" t="s">
        <v>194</v>
      </c>
      <c r="E617" s="23" t="s">
        <v>10</v>
      </c>
      <c r="F617" s="22" t="s">
        <v>77</v>
      </c>
      <c r="G617" s="8" t="s">
        <v>24</v>
      </c>
      <c r="H617" s="5" t="str">
        <f>IFERROR(__xludf.DUMMYFUNCTION("REGEXEXTRACT(B617, ""\((\d+)\)"")"),"1")</f>
        <v>1</v>
      </c>
      <c r="I617" s="5"/>
      <c r="J617" s="5"/>
      <c r="K617" s="5"/>
      <c r="L617" s="5"/>
    </row>
    <row r="618" ht="35.25" customHeight="1">
      <c r="A618" s="5">
        <v>617.0</v>
      </c>
      <c r="B618" s="14" t="s">
        <v>1230</v>
      </c>
      <c r="C618" s="6" t="str">
        <f>IFERROR(__xludf.DUMMYFUNCTION("REGEXEXTRACT(B618, ""^[A-Z0-9-]+"")"),"HS-601")</f>
        <v>HS-601</v>
      </c>
      <c r="D618" s="14" t="s">
        <v>1231</v>
      </c>
      <c r="E618" s="23" t="s">
        <v>10</v>
      </c>
      <c r="F618" s="14" t="s">
        <v>19</v>
      </c>
      <c r="G618" s="8" t="s">
        <v>27</v>
      </c>
      <c r="H618" s="5" t="str">
        <f>IFERROR(__xludf.DUMMYFUNCTION("REGEXEXTRACT(B618, ""\((\d+)\)"")"),"3")</f>
        <v>3</v>
      </c>
      <c r="I618" s="5"/>
      <c r="J618" s="5"/>
      <c r="K618" s="5"/>
      <c r="L618" s="5"/>
    </row>
    <row r="619" ht="35.25" customHeight="1">
      <c r="A619" s="5">
        <v>618.0</v>
      </c>
      <c r="B619" s="14" t="s">
        <v>1232</v>
      </c>
      <c r="C619" s="6" t="str">
        <f>IFERROR(__xludf.DUMMYFUNCTION("REGEXEXTRACT(B619, ""^[A-Z0-9-]+"")"),"HS-602")</f>
        <v>HS-602</v>
      </c>
      <c r="D619" s="14" t="s">
        <v>1233</v>
      </c>
      <c r="E619" s="23" t="s">
        <v>10</v>
      </c>
      <c r="F619" s="14" t="s">
        <v>19</v>
      </c>
      <c r="G619" s="8" t="s">
        <v>30</v>
      </c>
      <c r="H619" s="5" t="str">
        <f>IFERROR(__xludf.DUMMYFUNCTION("REGEXEXTRACT(B619, ""\((\d+)\)"")"),"3")</f>
        <v>3</v>
      </c>
      <c r="I619" s="5"/>
      <c r="J619" s="5"/>
      <c r="K619" s="5"/>
      <c r="L619" s="5"/>
    </row>
    <row r="620" ht="35.25" customHeight="1">
      <c r="A620" s="5">
        <v>619.0</v>
      </c>
      <c r="B620" s="6" t="s">
        <v>1234</v>
      </c>
      <c r="C620" s="6" t="str">
        <f>IFERROR(__xludf.DUMMYFUNCTION("REGEXEXTRACT(B620, ""^[A-Z0-9-]+"")"),"HS-606")</f>
        <v>HS-606</v>
      </c>
      <c r="D620" s="6" t="s">
        <v>1235</v>
      </c>
      <c r="E620" s="23" t="s">
        <v>10</v>
      </c>
      <c r="F620" s="6" t="s">
        <v>435</v>
      </c>
      <c r="G620" s="8" t="s">
        <v>33</v>
      </c>
      <c r="H620" s="5" t="str">
        <f>IFERROR(__xludf.DUMMYFUNCTION("REGEXEXTRACT(B620, ""\((\d+)\)"")"),"4")</f>
        <v>4</v>
      </c>
      <c r="I620" s="5"/>
      <c r="J620" s="5"/>
      <c r="K620" s="5"/>
      <c r="L620" s="5"/>
    </row>
    <row r="621" ht="35.25" customHeight="1">
      <c r="A621" s="5">
        <v>620.0</v>
      </c>
      <c r="B621" s="6" t="s">
        <v>1236</v>
      </c>
      <c r="C621" s="6" t="str">
        <f>IFERROR(__xludf.DUMMYFUNCTION("REGEXEXTRACT(B621, ""^[A-Z0-9-]+"")"),"HS-607")</f>
        <v>HS-607</v>
      </c>
      <c r="D621" s="6" t="s">
        <v>1237</v>
      </c>
      <c r="E621" s="23" t="s">
        <v>10</v>
      </c>
      <c r="F621" s="6" t="s">
        <v>19</v>
      </c>
      <c r="G621" s="8" t="s">
        <v>36</v>
      </c>
      <c r="H621" s="5" t="str">
        <f>IFERROR(__xludf.DUMMYFUNCTION("REGEXEXTRACT(B621, ""\((\d+)\)"")"),"3")</f>
        <v>3</v>
      </c>
      <c r="I621" s="5"/>
      <c r="J621" s="5"/>
      <c r="K621" s="5"/>
      <c r="L621" s="5"/>
    </row>
    <row r="622" ht="35.25" customHeight="1">
      <c r="A622" s="5">
        <v>621.0</v>
      </c>
      <c r="B622" s="6" t="s">
        <v>1238</v>
      </c>
      <c r="C622" s="6" t="str">
        <f>IFERROR(__xludf.DUMMYFUNCTION("REGEXEXTRACT(B622, ""^[A-Z0-9-]+"")"),"HS-608")</f>
        <v>HS-608</v>
      </c>
      <c r="D622" s="6" t="s">
        <v>1239</v>
      </c>
      <c r="E622" s="23" t="s">
        <v>10</v>
      </c>
      <c r="F622" s="6" t="s">
        <v>19</v>
      </c>
      <c r="G622" s="8" t="s">
        <v>39</v>
      </c>
      <c r="H622" s="5" t="str">
        <f>IFERROR(__xludf.DUMMYFUNCTION("REGEXEXTRACT(B622, ""\((\d+)\)"")"),"3")</f>
        <v>3</v>
      </c>
      <c r="I622" s="5"/>
      <c r="J622" s="5"/>
      <c r="K622" s="5"/>
      <c r="L622" s="5"/>
    </row>
    <row r="623" ht="35.25" customHeight="1">
      <c r="A623" s="5">
        <v>622.0</v>
      </c>
      <c r="B623" s="14" t="s">
        <v>1240</v>
      </c>
      <c r="C623" s="6" t="str">
        <f>IFERROR(__xludf.DUMMYFUNCTION("REGEXEXTRACT(B623, ""^[A-Z0-9-]+"")"),"HS-610")</f>
        <v>HS-610</v>
      </c>
      <c r="D623" s="14" t="s">
        <v>1241</v>
      </c>
      <c r="E623" s="23" t="s">
        <v>10</v>
      </c>
      <c r="F623" s="14" t="s">
        <v>19</v>
      </c>
      <c r="G623" s="8" t="s">
        <v>12</v>
      </c>
      <c r="H623" s="5" t="str">
        <f>IFERROR(__xludf.DUMMYFUNCTION("REGEXEXTRACT(B623, ""\((\d+)\)"")"),"3")</f>
        <v>3</v>
      </c>
      <c r="I623" s="5"/>
      <c r="J623" s="5"/>
      <c r="K623" s="5"/>
      <c r="L623" s="5"/>
    </row>
    <row r="624" ht="35.25" customHeight="1">
      <c r="A624" s="5">
        <v>623.0</v>
      </c>
      <c r="B624" s="14" t="s">
        <v>1242</v>
      </c>
      <c r="C624" s="6" t="str">
        <f>IFERROR(__xludf.DUMMYFUNCTION("REGEXEXTRACT(B624, ""^[A-Z0-9-]+"")"),"HS-611")</f>
        <v>HS-611</v>
      </c>
      <c r="D624" s="14" t="s">
        <v>1243</v>
      </c>
      <c r="E624" s="23" t="s">
        <v>10</v>
      </c>
      <c r="F624" s="14" t="s">
        <v>19</v>
      </c>
      <c r="G624" s="8" t="s">
        <v>16</v>
      </c>
      <c r="H624" s="5" t="str">
        <f>IFERROR(__xludf.DUMMYFUNCTION("REGEXEXTRACT(B624, ""\((\d+)\)"")"),"3")</f>
        <v>3</v>
      </c>
      <c r="I624" s="5"/>
      <c r="J624" s="5"/>
      <c r="K624" s="5"/>
      <c r="L624" s="5"/>
    </row>
    <row r="625" ht="35.25" customHeight="1">
      <c r="A625" s="5">
        <v>624.0</v>
      </c>
      <c r="B625" s="14" t="s">
        <v>1244</v>
      </c>
      <c r="C625" s="6" t="str">
        <f>IFERROR(__xludf.DUMMYFUNCTION("REGEXEXTRACT(B625, ""^[A-Z0-9-]+"")"),"HS-616")</f>
        <v>HS-616</v>
      </c>
      <c r="D625" s="14" t="s">
        <v>1245</v>
      </c>
      <c r="E625" s="23" t="s">
        <v>10</v>
      </c>
      <c r="F625" s="14" t="s">
        <v>19</v>
      </c>
      <c r="G625" s="8" t="s">
        <v>20</v>
      </c>
      <c r="H625" s="5" t="str">
        <f>IFERROR(__xludf.DUMMYFUNCTION("REGEXEXTRACT(B625, ""\((\d+)\)"")"),"3")</f>
        <v>3</v>
      </c>
      <c r="I625" s="5"/>
      <c r="J625" s="5"/>
      <c r="K625" s="5"/>
      <c r="L625" s="5"/>
    </row>
    <row r="626" ht="35.25" customHeight="1">
      <c r="A626" s="5">
        <v>625.0</v>
      </c>
      <c r="B626" s="14" t="s">
        <v>1246</v>
      </c>
      <c r="C626" s="6" t="str">
        <f>IFERROR(__xludf.DUMMYFUNCTION("REGEXEXTRACT(B626, ""^[A-Z0-9-]+"")"),"HS-620")</f>
        <v>HS-620</v>
      </c>
      <c r="D626" s="14" t="s">
        <v>1247</v>
      </c>
      <c r="E626" s="23" t="s">
        <v>10</v>
      </c>
      <c r="F626" s="14" t="s">
        <v>19</v>
      </c>
      <c r="G626" s="8" t="s">
        <v>24</v>
      </c>
      <c r="H626" s="5" t="str">
        <f>IFERROR(__xludf.DUMMYFUNCTION("REGEXEXTRACT(B626, ""\((\d+)\)"")"),"3")</f>
        <v>3</v>
      </c>
      <c r="I626" s="5"/>
      <c r="J626" s="5"/>
      <c r="K626" s="5"/>
      <c r="L626" s="5"/>
    </row>
    <row r="627" ht="35.25" customHeight="1">
      <c r="A627" s="5">
        <v>626.0</v>
      </c>
      <c r="B627" s="14" t="s">
        <v>1248</v>
      </c>
      <c r="C627" s="6" t="str">
        <f>IFERROR(__xludf.DUMMYFUNCTION("REGEXEXTRACT(B627, ""^[A-Z0-9-]+"")"),"HS-621")</f>
        <v>HS-621</v>
      </c>
      <c r="D627" s="14" t="s">
        <v>1249</v>
      </c>
      <c r="E627" s="23" t="s">
        <v>10</v>
      </c>
      <c r="F627" s="14" t="s">
        <v>435</v>
      </c>
      <c r="G627" s="8" t="s">
        <v>27</v>
      </c>
      <c r="H627" s="5" t="str">
        <f>IFERROR(__xludf.DUMMYFUNCTION("REGEXEXTRACT(B627, ""\((\d+)\)"")"),"4")</f>
        <v>4</v>
      </c>
      <c r="I627" s="5"/>
      <c r="J627" s="5"/>
      <c r="K627" s="5"/>
      <c r="L627" s="5"/>
    </row>
    <row r="628" ht="35.25" customHeight="1">
      <c r="A628" s="5">
        <v>627.0</v>
      </c>
      <c r="B628" s="14" t="s">
        <v>1250</v>
      </c>
      <c r="C628" s="6" t="str">
        <f>IFERROR(__xludf.DUMMYFUNCTION("REGEXEXTRACT(B628, ""^[A-Z0-9-]+"")"),"HS-623")</f>
        <v>HS-623</v>
      </c>
      <c r="D628" s="14" t="s">
        <v>1251</v>
      </c>
      <c r="E628" s="23" t="s">
        <v>10</v>
      </c>
      <c r="F628" s="14" t="s">
        <v>435</v>
      </c>
      <c r="G628" s="8" t="s">
        <v>30</v>
      </c>
      <c r="H628" s="5" t="str">
        <f>IFERROR(__xludf.DUMMYFUNCTION("REGEXEXTRACT(B628, ""\((\d+)\)"")"),"4")</f>
        <v>4</v>
      </c>
      <c r="I628" s="5"/>
      <c r="J628" s="5"/>
      <c r="K628" s="5"/>
      <c r="L628" s="5"/>
    </row>
    <row r="629" ht="35.25" customHeight="1">
      <c r="A629" s="5">
        <v>628.0</v>
      </c>
      <c r="B629" s="14" t="s">
        <v>1252</v>
      </c>
      <c r="C629" s="6" t="str">
        <f>IFERROR(__xludf.DUMMYFUNCTION("REGEXEXTRACT(B629, ""^[A-Z0-9-]+"")"),"HS-624")</f>
        <v>HS-624</v>
      </c>
      <c r="D629" s="14" t="s">
        <v>1253</v>
      </c>
      <c r="E629" s="23" t="s">
        <v>10</v>
      </c>
      <c r="F629" s="14" t="s">
        <v>435</v>
      </c>
      <c r="G629" s="8" t="s">
        <v>33</v>
      </c>
      <c r="H629" s="5" t="str">
        <f>IFERROR(__xludf.DUMMYFUNCTION("REGEXEXTRACT(B629, ""\((\d+)\)"")"),"4")</f>
        <v>4</v>
      </c>
      <c r="I629" s="5"/>
      <c r="J629" s="5"/>
      <c r="K629" s="5"/>
      <c r="L629" s="5"/>
    </row>
    <row r="630" ht="35.25" customHeight="1">
      <c r="A630" s="5">
        <v>629.0</v>
      </c>
      <c r="B630" s="14" t="s">
        <v>1254</v>
      </c>
      <c r="C630" s="6" t="str">
        <f>IFERROR(__xludf.DUMMYFUNCTION("REGEXEXTRACT(B630, ""^[A-Z0-9-]+"")"),"HS-626")</f>
        <v>HS-626</v>
      </c>
      <c r="D630" s="14" t="s">
        <v>1255</v>
      </c>
      <c r="E630" s="23" t="s">
        <v>10</v>
      </c>
      <c r="F630" s="6" t="s">
        <v>19</v>
      </c>
      <c r="G630" s="8" t="s">
        <v>36</v>
      </c>
      <c r="H630" s="5" t="str">
        <f>IFERROR(__xludf.DUMMYFUNCTION("REGEXEXTRACT(B630, ""\((\d+)\)"")"),"3")</f>
        <v>3</v>
      </c>
      <c r="I630" s="5"/>
      <c r="J630" s="5"/>
      <c r="K630" s="5"/>
      <c r="L630" s="5"/>
    </row>
    <row r="631" ht="35.25" customHeight="1">
      <c r="A631" s="5">
        <v>630.0</v>
      </c>
      <c r="B631" s="14" t="s">
        <v>1256</v>
      </c>
      <c r="C631" s="6" t="str">
        <f>IFERROR(__xludf.DUMMYFUNCTION("REGEXEXTRACT(B631, ""^[A-Z0-9-]+"")"),"HS-627")</f>
        <v>HS-627</v>
      </c>
      <c r="D631" s="14" t="s">
        <v>1257</v>
      </c>
      <c r="E631" s="23" t="s">
        <v>10</v>
      </c>
      <c r="F631" s="6" t="s">
        <v>19</v>
      </c>
      <c r="G631" s="8" t="s">
        <v>39</v>
      </c>
      <c r="H631" s="5" t="str">
        <f>IFERROR(__xludf.DUMMYFUNCTION("REGEXEXTRACT(B631, ""\((\d+)\)"")"),"3")</f>
        <v>3</v>
      </c>
      <c r="I631" s="5"/>
      <c r="J631" s="5"/>
      <c r="K631" s="5"/>
      <c r="L631" s="5"/>
    </row>
    <row r="632" ht="35.25" customHeight="1">
      <c r="A632" s="5">
        <v>631.0</v>
      </c>
      <c r="B632" s="14" t="s">
        <v>1258</v>
      </c>
      <c r="C632" s="6" t="str">
        <f>IFERROR(__xludf.DUMMYFUNCTION("REGEXEXTRACT(B632, ""^[A-Z0-9-]+"")"),"HS-629")</f>
        <v>HS-629</v>
      </c>
      <c r="D632" s="14" t="s">
        <v>1259</v>
      </c>
      <c r="E632" s="23" t="s">
        <v>10</v>
      </c>
      <c r="F632" s="6" t="s">
        <v>19</v>
      </c>
      <c r="G632" s="8" t="s">
        <v>12</v>
      </c>
      <c r="H632" s="5" t="str">
        <f>IFERROR(__xludf.DUMMYFUNCTION("REGEXEXTRACT(B632, ""\((\d+)\)"")"),"3")</f>
        <v>3</v>
      </c>
      <c r="I632" s="5"/>
      <c r="J632" s="5"/>
      <c r="K632" s="5"/>
      <c r="L632" s="5"/>
    </row>
    <row r="633" ht="35.25" customHeight="1">
      <c r="A633" s="5">
        <v>632.0</v>
      </c>
      <c r="B633" s="6" t="s">
        <v>1260</v>
      </c>
      <c r="C633" s="6" t="str">
        <f>IFERROR(__xludf.DUMMYFUNCTION("REGEXEXTRACT(B633, ""^[A-Z0-9-]+"")"),"HS-631")</f>
        <v>HS-631</v>
      </c>
      <c r="D633" s="6" t="s">
        <v>1261</v>
      </c>
      <c r="E633" s="23" t="s">
        <v>10</v>
      </c>
      <c r="F633" s="6" t="s">
        <v>19</v>
      </c>
      <c r="G633" s="8" t="s">
        <v>16</v>
      </c>
      <c r="H633" s="5" t="str">
        <f>IFERROR(__xludf.DUMMYFUNCTION("REGEXEXTRACT(B633, ""\((\d+)\)"")"),"3")</f>
        <v>3</v>
      </c>
      <c r="I633" s="5"/>
      <c r="J633" s="5"/>
      <c r="K633" s="5"/>
      <c r="L633" s="5"/>
    </row>
    <row r="634" ht="35.25" customHeight="1">
      <c r="A634" s="5">
        <v>633.0</v>
      </c>
      <c r="B634" s="6" t="s">
        <v>1262</v>
      </c>
      <c r="C634" s="6" t="str">
        <f>IFERROR(__xludf.DUMMYFUNCTION("REGEXEXTRACT(B634, ""^[A-Z0-9-]+"")"),"HS-632")</f>
        <v>HS-632</v>
      </c>
      <c r="D634" s="6" t="s">
        <v>1263</v>
      </c>
      <c r="E634" s="23" t="s">
        <v>10</v>
      </c>
      <c r="F634" s="6" t="s">
        <v>19</v>
      </c>
      <c r="G634" s="8" t="s">
        <v>20</v>
      </c>
      <c r="H634" s="5" t="str">
        <f>IFERROR(__xludf.DUMMYFUNCTION("REGEXEXTRACT(B634, ""\((\d+)\)"")"),"3")</f>
        <v>3</v>
      </c>
      <c r="I634" s="5"/>
      <c r="J634" s="5"/>
      <c r="K634" s="5"/>
      <c r="L634" s="5"/>
    </row>
    <row r="635" ht="35.25" customHeight="1">
      <c r="A635" s="5">
        <v>634.0</v>
      </c>
      <c r="B635" s="6" t="s">
        <v>1264</v>
      </c>
      <c r="C635" s="6" t="str">
        <f>IFERROR(__xludf.DUMMYFUNCTION("REGEXEXTRACT(B635, ""^[A-Z0-9-]+"")"),"HS-633")</f>
        <v>HS-633</v>
      </c>
      <c r="D635" s="6" t="s">
        <v>1265</v>
      </c>
      <c r="E635" s="23" t="s">
        <v>10</v>
      </c>
      <c r="F635" s="6" t="s">
        <v>19</v>
      </c>
      <c r="G635" s="8" t="s">
        <v>24</v>
      </c>
      <c r="H635" s="5" t="str">
        <f>IFERROR(__xludf.DUMMYFUNCTION("REGEXEXTRACT(B635, ""\((\d+)\)"")"),"3")</f>
        <v>3</v>
      </c>
      <c r="I635" s="5"/>
      <c r="J635" s="5"/>
      <c r="K635" s="5"/>
      <c r="L635" s="5"/>
    </row>
    <row r="636" ht="35.25" customHeight="1">
      <c r="A636" s="5">
        <v>635.0</v>
      </c>
      <c r="B636" s="6" t="s">
        <v>1266</v>
      </c>
      <c r="C636" s="6" t="str">
        <f>IFERROR(__xludf.DUMMYFUNCTION("REGEXEXTRACT(B636, ""^[A-Z0-9-]+"")"),"HS-634")</f>
        <v>HS-634</v>
      </c>
      <c r="D636" s="6" t="s">
        <v>1267</v>
      </c>
      <c r="E636" s="23" t="s">
        <v>10</v>
      </c>
      <c r="F636" s="6" t="s">
        <v>19</v>
      </c>
      <c r="G636" s="8" t="s">
        <v>27</v>
      </c>
      <c r="H636" s="5" t="str">
        <f>IFERROR(__xludf.DUMMYFUNCTION("REGEXEXTRACT(B636, ""\((\d+)\)"")"),"3")</f>
        <v>3</v>
      </c>
      <c r="I636" s="5"/>
      <c r="J636" s="5"/>
      <c r="K636" s="5"/>
      <c r="L636" s="5"/>
    </row>
    <row r="637" ht="35.25" customHeight="1">
      <c r="A637" s="5">
        <v>636.0</v>
      </c>
      <c r="B637" s="6" t="s">
        <v>1268</v>
      </c>
      <c r="C637" s="6" t="str">
        <f>IFERROR(__xludf.DUMMYFUNCTION("REGEXEXTRACT(B637, ""^[A-Z0-9-]+"")"),"HS-636")</f>
        <v>HS-636</v>
      </c>
      <c r="D637" s="6" t="s">
        <v>1269</v>
      </c>
      <c r="E637" s="23" t="s">
        <v>10</v>
      </c>
      <c r="F637" s="6" t="s">
        <v>19</v>
      </c>
      <c r="G637" s="8" t="s">
        <v>30</v>
      </c>
      <c r="H637" s="5" t="str">
        <f>IFERROR(__xludf.DUMMYFUNCTION("REGEXEXTRACT(B637, ""\((\d+)\)"")"),"3")</f>
        <v>3</v>
      </c>
      <c r="I637" s="5"/>
      <c r="J637" s="5"/>
      <c r="K637" s="5"/>
      <c r="L637" s="5"/>
    </row>
    <row r="638" ht="35.25" customHeight="1">
      <c r="A638" s="5">
        <v>637.0</v>
      </c>
      <c r="B638" s="6" t="s">
        <v>1270</v>
      </c>
      <c r="C638" s="6" t="str">
        <f>IFERROR(__xludf.DUMMYFUNCTION("REGEXEXTRACT(B638, ""^[A-Z0-9-]+"")"),"HS-637")</f>
        <v>HS-637</v>
      </c>
      <c r="D638" s="6" t="s">
        <v>1271</v>
      </c>
      <c r="E638" s="23" t="s">
        <v>10</v>
      </c>
      <c r="F638" s="6" t="s">
        <v>19</v>
      </c>
      <c r="G638" s="8" t="s">
        <v>33</v>
      </c>
      <c r="H638" s="5" t="str">
        <f>IFERROR(__xludf.DUMMYFUNCTION("REGEXEXTRACT(B638, ""\((\d+)\)"")"),"3")</f>
        <v>3</v>
      </c>
      <c r="I638" s="5"/>
      <c r="J638" s="5"/>
      <c r="K638" s="5"/>
      <c r="L638" s="5"/>
    </row>
    <row r="639" ht="35.25" customHeight="1">
      <c r="A639" s="5">
        <v>638.0</v>
      </c>
      <c r="B639" s="6" t="s">
        <v>1272</v>
      </c>
      <c r="C639" s="6" t="str">
        <f>IFERROR(__xludf.DUMMYFUNCTION("REGEXEXTRACT(B639, ""^[A-Z0-9-]+"")"),"HS-650")</f>
        <v>HS-650</v>
      </c>
      <c r="D639" s="6" t="s">
        <v>1203</v>
      </c>
      <c r="E639" s="23" t="s">
        <v>10</v>
      </c>
      <c r="F639" s="6" t="s">
        <v>19</v>
      </c>
      <c r="G639" s="8" t="s">
        <v>36</v>
      </c>
      <c r="H639" s="5" t="str">
        <f>IFERROR(__xludf.DUMMYFUNCTION("REGEXEXTRACT(B639, ""\((\d+)\)"")"),"3")</f>
        <v>3</v>
      </c>
      <c r="I639" s="5"/>
      <c r="J639" s="5"/>
      <c r="K639" s="5"/>
      <c r="L639" s="5"/>
    </row>
    <row r="640" ht="35.25" customHeight="1">
      <c r="A640" s="5">
        <v>639.0</v>
      </c>
      <c r="B640" s="14" t="s">
        <v>1273</v>
      </c>
      <c r="C640" s="6" t="str">
        <f>IFERROR(__xludf.DUMMYFUNCTION("REGEXEXTRACT(B640, ""^[A-Z0-9-]+"")"),"HS-651")</f>
        <v>HS-651</v>
      </c>
      <c r="D640" s="14" t="s">
        <v>1274</v>
      </c>
      <c r="E640" s="23" t="s">
        <v>10</v>
      </c>
      <c r="F640" s="14" t="s">
        <v>19</v>
      </c>
      <c r="G640" s="8" t="s">
        <v>39</v>
      </c>
      <c r="H640" s="5" t="str">
        <f>IFERROR(__xludf.DUMMYFUNCTION("REGEXEXTRACT(B640, ""\((\d+)\)"")"),"3")</f>
        <v>3</v>
      </c>
      <c r="I640" s="5"/>
      <c r="J640" s="5"/>
      <c r="K640" s="5"/>
      <c r="L640" s="5"/>
    </row>
    <row r="641" ht="35.25" customHeight="1">
      <c r="A641" s="5">
        <v>640.0</v>
      </c>
      <c r="B641" s="14" t="s">
        <v>1275</v>
      </c>
      <c r="C641" s="6" t="str">
        <f>IFERROR(__xludf.DUMMYFUNCTION("REGEXEXTRACT(B641, ""^[A-Z0-9-]+"")"),"HS-652")</f>
        <v>HS-652</v>
      </c>
      <c r="D641" s="14" t="s">
        <v>1276</v>
      </c>
      <c r="E641" s="23" t="s">
        <v>10</v>
      </c>
      <c r="F641" s="14" t="s">
        <v>19</v>
      </c>
      <c r="G641" s="8" t="s">
        <v>12</v>
      </c>
      <c r="H641" s="5" t="str">
        <f>IFERROR(__xludf.DUMMYFUNCTION("REGEXEXTRACT(B641, ""\((\d+)\)"")"),"3")</f>
        <v>3</v>
      </c>
      <c r="I641" s="5"/>
      <c r="J641" s="5"/>
      <c r="K641" s="5"/>
      <c r="L641" s="5"/>
    </row>
    <row r="642" ht="35.25" customHeight="1">
      <c r="A642" s="5">
        <v>641.0</v>
      </c>
      <c r="B642" s="14" t="s">
        <v>1277</v>
      </c>
      <c r="C642" s="6" t="str">
        <f>IFERROR(__xludf.DUMMYFUNCTION("REGEXEXTRACT(B642, ""^[A-Z0-9-]+"")"),"HS-653")</f>
        <v>HS-653</v>
      </c>
      <c r="D642" s="14" t="s">
        <v>1278</v>
      </c>
      <c r="E642" s="23" t="s">
        <v>10</v>
      </c>
      <c r="F642" s="14" t="s">
        <v>19</v>
      </c>
      <c r="G642" s="8" t="s">
        <v>16</v>
      </c>
      <c r="H642" s="5" t="str">
        <f>IFERROR(__xludf.DUMMYFUNCTION("REGEXEXTRACT(B642, ""\((\d+)\)"")"),"3")</f>
        <v>3</v>
      </c>
      <c r="I642" s="5"/>
      <c r="J642" s="5"/>
      <c r="K642" s="5"/>
      <c r="L642" s="5"/>
    </row>
    <row r="643" ht="35.25" customHeight="1">
      <c r="A643" s="5">
        <v>642.0</v>
      </c>
      <c r="B643" s="14" t="s">
        <v>1279</v>
      </c>
      <c r="C643" s="6" t="str">
        <f>IFERROR(__xludf.DUMMYFUNCTION("REGEXEXTRACT(B643, ""^[A-Z0-9-]+"")"),"HS-654")</f>
        <v>HS-654</v>
      </c>
      <c r="D643" s="14" t="s">
        <v>1280</v>
      </c>
      <c r="E643" s="23" t="s">
        <v>10</v>
      </c>
      <c r="F643" s="14" t="s">
        <v>435</v>
      </c>
      <c r="G643" s="8" t="s">
        <v>20</v>
      </c>
      <c r="H643" s="5" t="str">
        <f>IFERROR(__xludf.DUMMYFUNCTION("REGEXEXTRACT(B643, ""\((\d+)\)"")"),"4")</f>
        <v>4</v>
      </c>
      <c r="I643" s="5"/>
      <c r="J643" s="5"/>
      <c r="K643" s="5"/>
      <c r="L643" s="5"/>
    </row>
    <row r="644" ht="35.25" customHeight="1">
      <c r="A644" s="5">
        <v>643.0</v>
      </c>
      <c r="B644" s="6" t="s">
        <v>1281</v>
      </c>
      <c r="C644" s="6" t="str">
        <f>IFERROR(__xludf.DUMMYFUNCTION("REGEXEXTRACT(B644, ""^[A-Z0-9-]+"")"),"HS-694")</f>
        <v>HS-694</v>
      </c>
      <c r="D644" s="6" t="s">
        <v>1282</v>
      </c>
      <c r="E644" s="23" t="s">
        <v>10</v>
      </c>
      <c r="F644" s="6" t="s">
        <v>19</v>
      </c>
      <c r="G644" s="8" t="s">
        <v>24</v>
      </c>
      <c r="H644" s="5" t="str">
        <f>IFERROR(__xludf.DUMMYFUNCTION("REGEXEXTRACT(B644, ""\((\d+)\)"")"),"3")</f>
        <v>3</v>
      </c>
      <c r="I644" s="5"/>
      <c r="J644" s="5"/>
      <c r="K644" s="5"/>
      <c r="L644" s="5"/>
    </row>
    <row r="645" ht="35.25" customHeight="1">
      <c r="A645" s="5">
        <v>644.0</v>
      </c>
      <c r="B645" s="16" t="s">
        <v>1283</v>
      </c>
      <c r="C645" s="6" t="str">
        <f>IFERROR(__xludf.DUMMYFUNCTION("REGEXEXTRACT(B645, ""^[A-Z0-9-]+"")"),"IC-011")</f>
        <v>IC-011</v>
      </c>
      <c r="D645" s="14" t="s">
        <v>1284</v>
      </c>
      <c r="E645" s="23" t="s">
        <v>10</v>
      </c>
      <c r="F645" s="16">
        <v>2.0</v>
      </c>
      <c r="G645" s="8" t="s">
        <v>27</v>
      </c>
      <c r="H645" s="5" t="str">
        <f>IFERROR(__xludf.DUMMYFUNCTION("REGEXEXTRACT(B645, ""\((\d+)\)"")"),"2")</f>
        <v>2</v>
      </c>
      <c r="I645" s="5"/>
      <c r="J645" s="5"/>
      <c r="K645" s="5"/>
      <c r="L645" s="5"/>
    </row>
    <row r="646" ht="35.25" customHeight="1">
      <c r="A646" s="5">
        <v>645.0</v>
      </c>
      <c r="B646" s="18" t="s">
        <v>1285</v>
      </c>
      <c r="C646" s="6" t="str">
        <f>IFERROR(__xludf.DUMMYFUNCTION("REGEXEXTRACT(B646, ""^[A-Z0-9-]+"")"),"IC-101P")</f>
        <v>IC-101P</v>
      </c>
      <c r="D646" s="18" t="s">
        <v>249</v>
      </c>
      <c r="E646" s="34" t="s">
        <v>10</v>
      </c>
      <c r="F646" s="18" t="s">
        <v>385</v>
      </c>
      <c r="G646" s="8" t="s">
        <v>30</v>
      </c>
      <c r="H646" s="5" t="str">
        <f>IFERROR(__xludf.DUMMYFUNCTION("REGEXEXTRACT(B646, ""\((\d+)\)"")"),"2")</f>
        <v>2</v>
      </c>
      <c r="I646" s="20"/>
      <c r="J646" s="20"/>
      <c r="K646" s="20"/>
      <c r="L646" s="20"/>
    </row>
    <row r="647" ht="35.25" customHeight="1">
      <c r="A647" s="5">
        <v>646.0</v>
      </c>
      <c r="B647" s="6" t="s">
        <v>1286</v>
      </c>
      <c r="C647" s="6" t="str">
        <f>IFERROR(__xludf.DUMMYFUNCTION("REGEXEXTRACT(B647, ""^[A-Z0-9-]+"")"),"IC-102P")</f>
        <v>IC-102P</v>
      </c>
      <c r="D647" s="6" t="s">
        <v>1287</v>
      </c>
      <c r="E647" s="23" t="s">
        <v>10</v>
      </c>
      <c r="F647" s="6" t="s">
        <v>964</v>
      </c>
      <c r="G647" s="8" t="s">
        <v>33</v>
      </c>
      <c r="H647" s="5" t="str">
        <f>IFERROR(__xludf.DUMMYFUNCTION("REGEXEXTRACT(B647, ""\((\d+)\)"")"),"4")</f>
        <v>4</v>
      </c>
      <c r="I647" s="5"/>
      <c r="J647" s="5"/>
      <c r="K647" s="5"/>
      <c r="L647" s="5"/>
    </row>
    <row r="648" ht="35.25" customHeight="1">
      <c r="A648" s="5">
        <v>647.0</v>
      </c>
      <c r="B648" s="18" t="s">
        <v>1288</v>
      </c>
      <c r="C648" s="6" t="str">
        <f>IFERROR(__xludf.DUMMYFUNCTION("REGEXEXTRACT(B648, ""^[A-Z0-9-]+"")"),"IC-110")</f>
        <v>IC-110</v>
      </c>
      <c r="D648" s="18" t="s">
        <v>1289</v>
      </c>
      <c r="E648" s="34" t="s">
        <v>10</v>
      </c>
      <c r="F648" s="18" t="s">
        <v>713</v>
      </c>
      <c r="G648" s="8" t="s">
        <v>36</v>
      </c>
      <c r="H648" s="5" t="str">
        <f>IFERROR(__xludf.DUMMYFUNCTION("REGEXEXTRACT(B648, ""\((\d+)\)"")"),"3")</f>
        <v>3</v>
      </c>
      <c r="I648" s="20"/>
      <c r="J648" s="20"/>
      <c r="K648" s="20"/>
      <c r="L648" s="20"/>
    </row>
    <row r="649" ht="35.25" customHeight="1">
      <c r="A649" s="5">
        <v>648.0</v>
      </c>
      <c r="B649" s="18" t="s">
        <v>1290</v>
      </c>
      <c r="C649" s="6" t="str">
        <f>IFERROR(__xludf.DUMMYFUNCTION("REGEXEXTRACT(B649, ""^[A-Z0-9-]+"")"),"IC-111")</f>
        <v>IC-111</v>
      </c>
      <c r="D649" s="18" t="s">
        <v>1291</v>
      </c>
      <c r="E649" s="34" t="s">
        <v>10</v>
      </c>
      <c r="F649" s="18" t="s">
        <v>713</v>
      </c>
      <c r="G649" s="8" t="s">
        <v>39</v>
      </c>
      <c r="H649" s="5" t="str">
        <f>IFERROR(__xludf.DUMMYFUNCTION("REGEXEXTRACT(B649, ""\((\d+)\)"")"),"3")</f>
        <v>3</v>
      </c>
      <c r="I649" s="20"/>
      <c r="J649" s="20"/>
      <c r="K649" s="20"/>
      <c r="L649" s="20"/>
    </row>
    <row r="650" ht="35.25" customHeight="1">
      <c r="A650" s="5">
        <v>649.0</v>
      </c>
      <c r="B650" s="6" t="s">
        <v>1292</v>
      </c>
      <c r="C650" s="6" t="str">
        <f>IFERROR(__xludf.DUMMYFUNCTION("REGEXEXTRACT(B650, ""^[A-Z0-9-]+"")"),"IC-112")</f>
        <v>IC-112</v>
      </c>
      <c r="D650" s="6" t="s">
        <v>1293</v>
      </c>
      <c r="E650" s="23" t="s">
        <v>10</v>
      </c>
      <c r="F650" s="6" t="s">
        <v>1294</v>
      </c>
      <c r="G650" s="8" t="s">
        <v>12</v>
      </c>
      <c r="H650" s="5" t="str">
        <f>IFERROR(__xludf.DUMMYFUNCTION("REGEXEXTRACT(B650, ""\((\d+)\)"")"),"2")</f>
        <v>2</v>
      </c>
      <c r="I650" s="5"/>
      <c r="J650" s="5"/>
      <c r="K650" s="5"/>
      <c r="L650" s="5"/>
    </row>
    <row r="651" ht="35.25" customHeight="1">
      <c r="A651" s="5">
        <v>650.0</v>
      </c>
      <c r="B651" s="6" t="s">
        <v>1295</v>
      </c>
      <c r="C651" s="6" t="str">
        <f>IFERROR(__xludf.DUMMYFUNCTION("REGEXEXTRACT(B651, ""^[A-Z0-9-]+"")"),"IC-113")</f>
        <v>IC-113</v>
      </c>
      <c r="D651" s="6" t="s">
        <v>1296</v>
      </c>
      <c r="E651" s="23" t="s">
        <v>10</v>
      </c>
      <c r="F651" s="6" t="s">
        <v>1294</v>
      </c>
      <c r="G651" s="8" t="s">
        <v>16</v>
      </c>
      <c r="H651" s="5" t="str">
        <f>IFERROR(__xludf.DUMMYFUNCTION("REGEXEXTRACT(B651, ""\((\d+)\)"")"),"2")</f>
        <v>2</v>
      </c>
      <c r="I651" s="5"/>
      <c r="J651" s="5"/>
      <c r="K651" s="5"/>
      <c r="L651" s="5"/>
    </row>
    <row r="652" ht="35.25" customHeight="1">
      <c r="A652" s="5">
        <v>651.0</v>
      </c>
      <c r="B652" s="6" t="s">
        <v>1297</v>
      </c>
      <c r="C652" s="6" t="str">
        <f>IFERROR(__xludf.DUMMYFUNCTION("REGEXEXTRACT(B652, ""^[A-Z0-9-]+"")"),"IC-114")</f>
        <v>IC-114</v>
      </c>
      <c r="D652" s="6" t="s">
        <v>1298</v>
      </c>
      <c r="E652" s="23" t="s">
        <v>10</v>
      </c>
      <c r="F652" s="6" t="s">
        <v>60</v>
      </c>
      <c r="G652" s="8" t="s">
        <v>20</v>
      </c>
      <c r="H652" s="5" t="str">
        <f>IFERROR(__xludf.DUMMYFUNCTION("REGEXEXTRACT(B652, ""\((\d+)\)"")"),"0")</f>
        <v>0</v>
      </c>
      <c r="I652" s="5"/>
      <c r="J652" s="5"/>
      <c r="K652" s="5"/>
      <c r="L652" s="5"/>
    </row>
    <row r="653" ht="35.25" customHeight="1">
      <c r="A653" s="5">
        <v>652.0</v>
      </c>
      <c r="B653" s="6" t="s">
        <v>1299</v>
      </c>
      <c r="C653" s="6" t="str">
        <f>IFERROR(__xludf.DUMMYFUNCTION("REGEXEXTRACT(B653, ""^[A-Z0-9-]+"")"),"IC-115")</f>
        <v>IC-115</v>
      </c>
      <c r="D653" s="6" t="s">
        <v>1300</v>
      </c>
      <c r="E653" s="23" t="s">
        <v>10</v>
      </c>
      <c r="F653" s="6" t="s">
        <v>60</v>
      </c>
      <c r="G653" s="8" t="s">
        <v>24</v>
      </c>
      <c r="H653" s="5" t="str">
        <f>IFERROR(__xludf.DUMMYFUNCTION("REGEXEXTRACT(B653, ""\((\d+)\)"")"),"0")</f>
        <v>0</v>
      </c>
      <c r="I653" s="5"/>
      <c r="J653" s="5"/>
      <c r="K653" s="5"/>
      <c r="L653" s="5"/>
    </row>
    <row r="654" ht="35.25" customHeight="1">
      <c r="A654" s="5">
        <v>653.0</v>
      </c>
      <c r="B654" s="14" t="s">
        <v>1301</v>
      </c>
      <c r="C654" s="6" t="str">
        <f>IFERROR(__xludf.DUMMYFUNCTION("REGEXEXTRACT(B654, ""^[A-Z0-9-]+"")"),"IC-121")</f>
        <v>IC-121</v>
      </c>
      <c r="D654" s="14" t="s">
        <v>1302</v>
      </c>
      <c r="E654" s="23" t="s">
        <v>10</v>
      </c>
      <c r="F654" s="14" t="s">
        <v>713</v>
      </c>
      <c r="G654" s="8" t="s">
        <v>27</v>
      </c>
      <c r="H654" s="5" t="str">
        <f>IFERROR(__xludf.DUMMYFUNCTION("REGEXEXTRACT(B654, ""\((\d+)\)"")"),"3")</f>
        <v>3</v>
      </c>
      <c r="I654" s="5"/>
      <c r="J654" s="5"/>
      <c r="K654" s="5"/>
      <c r="L654" s="5"/>
    </row>
    <row r="655" ht="31.5" customHeight="1">
      <c r="A655" s="5">
        <v>654.0</v>
      </c>
      <c r="B655" s="35" t="s">
        <v>1303</v>
      </c>
      <c r="C655" s="6" t="str">
        <f>IFERROR(__xludf.DUMMYFUNCTION("REGEXEXTRACT(B655, ""^[A-Z0-9-]+"")"),"IC-130P")</f>
        <v>IC-130P</v>
      </c>
      <c r="D655" s="35" t="s">
        <v>1304</v>
      </c>
      <c r="E655" s="36" t="s">
        <v>10</v>
      </c>
      <c r="F655" s="35" t="s">
        <v>385</v>
      </c>
      <c r="G655" s="8" t="s">
        <v>30</v>
      </c>
      <c r="H655" s="5" t="str">
        <f>IFERROR(__xludf.DUMMYFUNCTION("REGEXEXTRACT(B655, ""\((\d+)\)"")"),"2")</f>
        <v>2</v>
      </c>
      <c r="I655" s="37"/>
      <c r="J655" s="37"/>
      <c r="K655" s="37"/>
      <c r="L655" s="37"/>
    </row>
    <row r="656" ht="35.25" customHeight="1">
      <c r="A656" s="5">
        <v>655.0</v>
      </c>
      <c r="B656" s="14" t="s">
        <v>1305</v>
      </c>
      <c r="C656" s="6" t="str">
        <f>IFERROR(__xludf.DUMMYFUNCTION("REGEXEXTRACT(B656, ""^[A-Z0-9-]+"")"),"IC-131")</f>
        <v>IC-131</v>
      </c>
      <c r="D656" s="14" t="s">
        <v>1306</v>
      </c>
      <c r="E656" s="23" t="s">
        <v>10</v>
      </c>
      <c r="F656" s="14" t="s">
        <v>23</v>
      </c>
      <c r="G656" s="8" t="s">
        <v>33</v>
      </c>
      <c r="H656" s="5" t="str">
        <f>IFERROR(__xludf.DUMMYFUNCTION("REGEXEXTRACT(B656, ""\((\d+)\)"")"),"3")</f>
        <v>3</v>
      </c>
      <c r="I656" s="5"/>
      <c r="J656" s="5"/>
      <c r="K656" s="5"/>
      <c r="L656" s="5"/>
    </row>
    <row r="657" ht="35.25" customHeight="1">
      <c r="A657" s="5">
        <v>656.0</v>
      </c>
      <c r="B657" s="14" t="s">
        <v>1307</v>
      </c>
      <c r="C657" s="6" t="str">
        <f>IFERROR(__xludf.DUMMYFUNCTION("REGEXEXTRACT(B657, ""^[A-Z0-9-]+"")"),"IC-136")</f>
        <v>IC-136</v>
      </c>
      <c r="D657" s="14" t="s">
        <v>1308</v>
      </c>
      <c r="E657" s="23" t="s">
        <v>10</v>
      </c>
      <c r="F657" s="16" t="s">
        <v>19</v>
      </c>
      <c r="G657" s="8" t="s">
        <v>36</v>
      </c>
      <c r="H657" s="5" t="str">
        <f>IFERROR(__xludf.DUMMYFUNCTION("REGEXEXTRACT(B657, ""\((\d+)\)"")"),"3")</f>
        <v>3</v>
      </c>
      <c r="I657" s="5"/>
      <c r="J657" s="5"/>
      <c r="K657" s="5"/>
      <c r="L657" s="5"/>
    </row>
    <row r="658" ht="35.25" customHeight="1">
      <c r="A658" s="5">
        <v>657.0</v>
      </c>
      <c r="B658" s="14" t="s">
        <v>1309</v>
      </c>
      <c r="C658" s="6" t="str">
        <f>IFERROR(__xludf.DUMMYFUNCTION("REGEXEXTRACT(B658, ""^[A-Z0-9-]+"")"),"IC-140")</f>
        <v>IC-140</v>
      </c>
      <c r="D658" s="14" t="s">
        <v>1310</v>
      </c>
      <c r="E658" s="23" t="s">
        <v>10</v>
      </c>
      <c r="F658" s="14" t="s">
        <v>1311</v>
      </c>
      <c r="G658" s="8" t="s">
        <v>39</v>
      </c>
      <c r="H658" s="5" t="str">
        <f>IFERROR(__xludf.DUMMYFUNCTION("REGEXEXTRACT(B658, ""\((\d+)\)"")"),"4")</f>
        <v>4</v>
      </c>
      <c r="I658" s="5"/>
      <c r="J658" s="5"/>
      <c r="K658" s="5"/>
      <c r="L658" s="5"/>
    </row>
    <row r="659" ht="35.25" customHeight="1">
      <c r="A659" s="5">
        <v>658.0</v>
      </c>
      <c r="B659" s="18" t="s">
        <v>1312</v>
      </c>
      <c r="C659" s="6" t="str">
        <f>IFERROR(__xludf.DUMMYFUNCTION("REGEXEXTRACT(B659, ""^[A-Z0-9-]+"")"),"IC-141")</f>
        <v>IC-141</v>
      </c>
      <c r="D659" s="18" t="s">
        <v>1313</v>
      </c>
      <c r="E659" s="34" t="s">
        <v>10</v>
      </c>
      <c r="F659" s="18" t="s">
        <v>1314</v>
      </c>
      <c r="G659" s="8" t="s">
        <v>12</v>
      </c>
      <c r="H659" s="5" t="str">
        <f>IFERROR(__xludf.DUMMYFUNCTION("REGEXEXTRACT(B659, ""\((\d+)\)"")"),"2")</f>
        <v>2</v>
      </c>
      <c r="I659" s="20"/>
      <c r="J659" s="20"/>
      <c r="K659" s="20"/>
      <c r="L659" s="20"/>
    </row>
    <row r="660" ht="35.25" customHeight="1">
      <c r="A660" s="5">
        <v>659.0</v>
      </c>
      <c r="B660" s="18" t="s">
        <v>1315</v>
      </c>
      <c r="C660" s="6" t="str">
        <f>IFERROR(__xludf.DUMMYFUNCTION("REGEXEXTRACT(B660, ""^[A-Z0-9-]+"")"),"IC-141P")</f>
        <v>IC-141P</v>
      </c>
      <c r="D660" s="18" t="s">
        <v>1316</v>
      </c>
      <c r="E660" s="19" t="s">
        <v>10</v>
      </c>
      <c r="F660" s="18">
        <v>2.0</v>
      </c>
      <c r="G660" s="8" t="s">
        <v>16</v>
      </c>
      <c r="H660" s="5" t="str">
        <f>IFERROR(__xludf.DUMMYFUNCTION("REGEXEXTRACT(B660, ""\((\d+)\)"")"),"2")</f>
        <v>2</v>
      </c>
      <c r="I660" s="20"/>
      <c r="J660" s="20"/>
      <c r="K660" s="20"/>
      <c r="L660" s="20"/>
    </row>
    <row r="661" ht="35.25" customHeight="1">
      <c r="A661" s="5">
        <v>660.0</v>
      </c>
      <c r="B661" s="14" t="s">
        <v>1317</v>
      </c>
      <c r="C661" s="6" t="str">
        <f>IFERROR(__xludf.DUMMYFUNCTION("REGEXEXTRACT(B661, ""^[A-Z0-9-]+"")"),"IC-142")</f>
        <v>IC-142</v>
      </c>
      <c r="D661" s="14" t="s">
        <v>1318</v>
      </c>
      <c r="E661" s="15" t="s">
        <v>10</v>
      </c>
      <c r="F661" s="14" t="s">
        <v>713</v>
      </c>
      <c r="G661" s="8" t="s">
        <v>20</v>
      </c>
      <c r="H661" s="5" t="str">
        <f>IFERROR(__xludf.DUMMYFUNCTION("REGEXEXTRACT(B661, ""\((\d+)\)"")"),"3")</f>
        <v>3</v>
      </c>
      <c r="I661" s="5"/>
      <c r="J661" s="5"/>
      <c r="K661" s="5"/>
      <c r="L661" s="5"/>
    </row>
    <row r="662" ht="35.25" customHeight="1">
      <c r="A662" s="5">
        <v>661.0</v>
      </c>
      <c r="B662" s="18" t="s">
        <v>1319</v>
      </c>
      <c r="C662" s="6" t="str">
        <f>IFERROR(__xludf.DUMMYFUNCTION("REGEXEXTRACT(B662, ""^[A-Z0-9-]+"")"),"IC-150")</f>
        <v>IC-150</v>
      </c>
      <c r="D662" s="18" t="s">
        <v>1320</v>
      </c>
      <c r="E662" s="19" t="s">
        <v>10</v>
      </c>
      <c r="F662" s="35" t="s">
        <v>19</v>
      </c>
      <c r="G662" s="8" t="s">
        <v>24</v>
      </c>
      <c r="H662" s="5" t="str">
        <f>IFERROR(__xludf.DUMMYFUNCTION("REGEXEXTRACT(B662, ""\((\d+)\)"")"),"3")</f>
        <v>3</v>
      </c>
      <c r="I662" s="20"/>
      <c r="J662" s="20"/>
      <c r="K662" s="20"/>
      <c r="L662" s="20"/>
    </row>
    <row r="663" ht="35.25" customHeight="1">
      <c r="A663" s="5">
        <v>662.0</v>
      </c>
      <c r="B663" s="18" t="s">
        <v>1321</v>
      </c>
      <c r="C663" s="6" t="str">
        <f>IFERROR(__xludf.DUMMYFUNCTION("REGEXEXTRACT(B663, ""^[A-Z0-9-]+"")"),"IC-150P")</f>
        <v>IC-150P</v>
      </c>
      <c r="D663" s="18" t="s">
        <v>1322</v>
      </c>
      <c r="E663" s="19" t="s">
        <v>10</v>
      </c>
      <c r="F663" s="18" t="s">
        <v>385</v>
      </c>
      <c r="G663" s="8" t="s">
        <v>27</v>
      </c>
      <c r="H663" s="5" t="str">
        <f>IFERROR(__xludf.DUMMYFUNCTION("REGEXEXTRACT(B663, ""\((\d+)\)"")"),"2")</f>
        <v>2</v>
      </c>
      <c r="I663" s="20"/>
      <c r="J663" s="20"/>
      <c r="K663" s="20"/>
      <c r="L663" s="20"/>
    </row>
    <row r="664" ht="35.25" customHeight="1">
      <c r="A664" s="5">
        <v>663.0</v>
      </c>
      <c r="B664" s="14" t="s">
        <v>1323</v>
      </c>
      <c r="C664" s="6" t="str">
        <f>IFERROR(__xludf.DUMMYFUNCTION("REGEXEXTRACT(B664, ""^[A-Z0-9-]+"")"),"IC")</f>
        <v>IC</v>
      </c>
      <c r="D664" s="14" t="s">
        <v>1324</v>
      </c>
      <c r="E664" s="15" t="s">
        <v>10</v>
      </c>
      <c r="F664" s="14" t="s">
        <v>15</v>
      </c>
      <c r="G664" s="8" t="s">
        <v>30</v>
      </c>
      <c r="H664" s="5" t="str">
        <f>IFERROR(__xludf.DUMMYFUNCTION("REGEXEXTRACT(B664, ""\((\d+)\)"")"),"4")</f>
        <v>4</v>
      </c>
      <c r="I664" s="5"/>
      <c r="J664" s="5"/>
      <c r="K664" s="5"/>
      <c r="L664" s="5"/>
    </row>
    <row r="665" ht="35.25" customHeight="1">
      <c r="A665" s="5">
        <v>664.0</v>
      </c>
      <c r="B665" s="18" t="s">
        <v>1325</v>
      </c>
      <c r="C665" s="6" t="str">
        <f>IFERROR(__xludf.DUMMYFUNCTION("REGEXEXTRACT(B665, ""^[A-Z0-9-]+"")"),"IC-160")</f>
        <v>IC-160</v>
      </c>
      <c r="D665" s="18" t="s">
        <v>1326</v>
      </c>
      <c r="E665" s="19" t="s">
        <v>10</v>
      </c>
      <c r="F665" s="18" t="s">
        <v>713</v>
      </c>
      <c r="G665" s="8" t="s">
        <v>33</v>
      </c>
      <c r="H665" s="5" t="str">
        <f>IFERROR(__xludf.DUMMYFUNCTION("REGEXEXTRACT(B665, ""\((\d+)\)"")"),"3")</f>
        <v>3</v>
      </c>
      <c r="I665" s="20"/>
      <c r="J665" s="20"/>
      <c r="K665" s="20"/>
      <c r="L665" s="20"/>
    </row>
    <row r="666" ht="35.25" customHeight="1">
      <c r="A666" s="5">
        <v>665.0</v>
      </c>
      <c r="B666" s="18" t="s">
        <v>1327</v>
      </c>
      <c r="C666" s="6" t="str">
        <f>IFERROR(__xludf.DUMMYFUNCTION("REGEXEXTRACT(B666, ""^[A-Z0-9-]+"")"),"IC-160P")</f>
        <v>IC-160P</v>
      </c>
      <c r="D666" s="18" t="s">
        <v>1328</v>
      </c>
      <c r="E666" s="19" t="s">
        <v>10</v>
      </c>
      <c r="F666" s="18" t="s">
        <v>385</v>
      </c>
      <c r="G666" s="8" t="s">
        <v>36</v>
      </c>
      <c r="H666" s="5" t="str">
        <f>IFERROR(__xludf.DUMMYFUNCTION("REGEXEXTRACT(B666, ""\((\d+)\)"")"),"2")</f>
        <v>2</v>
      </c>
      <c r="I666" s="20"/>
      <c r="J666" s="20"/>
      <c r="K666" s="20"/>
      <c r="L666" s="20"/>
    </row>
    <row r="667" ht="35.25" customHeight="1">
      <c r="A667" s="5">
        <v>666.0</v>
      </c>
      <c r="B667" s="14" t="s">
        <v>1329</v>
      </c>
      <c r="C667" s="6" t="str">
        <f>IFERROR(__xludf.DUMMYFUNCTION("REGEXEXTRACT(B667, ""^[A-Z0-9-]+"")"),"IC-161")</f>
        <v>IC-161</v>
      </c>
      <c r="D667" s="14" t="s">
        <v>1330</v>
      </c>
      <c r="E667" s="15" t="s">
        <v>10</v>
      </c>
      <c r="F667" s="16" t="s">
        <v>19</v>
      </c>
      <c r="G667" s="8" t="s">
        <v>39</v>
      </c>
      <c r="H667" s="5" t="str">
        <f>IFERROR(__xludf.DUMMYFUNCTION("REGEXEXTRACT(B667, ""\((\d+)\)"")"),"3")</f>
        <v>3</v>
      </c>
      <c r="I667" s="5"/>
      <c r="J667" s="5"/>
      <c r="K667" s="5"/>
      <c r="L667" s="5"/>
    </row>
    <row r="668" ht="35.25" customHeight="1">
      <c r="A668" s="5">
        <v>667.0</v>
      </c>
      <c r="B668" s="14" t="s">
        <v>1331</v>
      </c>
      <c r="C668" s="6" t="str">
        <f>IFERROR(__xludf.DUMMYFUNCTION("REGEXEXTRACT(B668, ""^[A-Z0-9-]+"")"),"IC-161P")</f>
        <v>IC-161P</v>
      </c>
      <c r="D668" s="14" t="s">
        <v>1332</v>
      </c>
      <c r="E668" s="15" t="s">
        <v>10</v>
      </c>
      <c r="F668" s="14" t="s">
        <v>385</v>
      </c>
      <c r="G668" s="8" t="s">
        <v>12</v>
      </c>
      <c r="H668" s="5" t="str">
        <f>IFERROR(__xludf.DUMMYFUNCTION("REGEXEXTRACT(B668, ""\((\d+)\)"")"),"2")</f>
        <v>2</v>
      </c>
      <c r="I668" s="5"/>
      <c r="J668" s="5"/>
      <c r="K668" s="5"/>
      <c r="L668" s="5"/>
    </row>
    <row r="669" ht="35.25" customHeight="1">
      <c r="A669" s="5">
        <v>668.0</v>
      </c>
      <c r="B669" s="18" t="s">
        <v>1333</v>
      </c>
      <c r="C669" s="6" t="str">
        <f>IFERROR(__xludf.DUMMYFUNCTION("REGEXEXTRACT(B669, ""^[A-Z0-9-]+"")"),"IC")</f>
        <v>IC</v>
      </c>
      <c r="D669" s="18" t="s">
        <v>1334</v>
      </c>
      <c r="E669" s="19" t="s">
        <v>87</v>
      </c>
      <c r="F669" s="18">
        <v>4.0</v>
      </c>
      <c r="G669" s="8" t="s">
        <v>16</v>
      </c>
      <c r="H669" s="5" t="str">
        <f>IFERROR(__xludf.DUMMYFUNCTION("REGEXEXTRACT(B669, ""\((\d+)\)"")"),"4")</f>
        <v>4</v>
      </c>
      <c r="I669" s="20"/>
      <c r="J669" s="20"/>
      <c r="K669" s="20"/>
      <c r="L669" s="20"/>
    </row>
    <row r="670" ht="35.25" customHeight="1">
      <c r="A670" s="5">
        <v>669.0</v>
      </c>
      <c r="B670" s="14" t="s">
        <v>1335</v>
      </c>
      <c r="C670" s="6" t="str">
        <f>IFERROR(__xludf.DUMMYFUNCTION("REGEXEXTRACT(B670, ""^[A-Z0-9-]+"")"),"IC")</f>
        <v>IC</v>
      </c>
      <c r="D670" s="6" t="s">
        <v>1336</v>
      </c>
      <c r="E670" s="7" t="s">
        <v>10</v>
      </c>
      <c r="F670" s="14" t="s">
        <v>23</v>
      </c>
      <c r="G670" s="8" t="s">
        <v>20</v>
      </c>
      <c r="H670" s="5" t="str">
        <f>IFERROR(__xludf.DUMMYFUNCTION("REGEXEXTRACT(B670, ""\((\d+)\)"")"),"3")</f>
        <v>3</v>
      </c>
      <c r="I670" s="5"/>
      <c r="J670" s="5"/>
      <c r="K670" s="5"/>
      <c r="L670" s="5"/>
    </row>
    <row r="671" ht="35.25" customHeight="1">
      <c r="A671" s="5">
        <v>670.0</v>
      </c>
      <c r="B671" s="11" t="s">
        <v>1337</v>
      </c>
      <c r="C671" s="6" t="str">
        <f>IFERROR(__xludf.DUMMYFUNCTION("REGEXEXTRACT(B671, ""^[A-Z0-9-]+"")"),"IC-202P")</f>
        <v>IC-202P</v>
      </c>
      <c r="D671" s="11" t="s">
        <v>935</v>
      </c>
      <c r="E671" s="25" t="s">
        <v>10</v>
      </c>
      <c r="F671" s="11" t="s">
        <v>345</v>
      </c>
      <c r="G671" s="8" t="s">
        <v>24</v>
      </c>
      <c r="H671" s="5" t="str">
        <f>IFERROR(__xludf.DUMMYFUNCTION("REGEXEXTRACT(B671, ""\((\d+)\)"")"),"3")</f>
        <v>3</v>
      </c>
      <c r="I671" s="5"/>
      <c r="J671" s="5"/>
      <c r="K671" s="5"/>
      <c r="L671" s="5"/>
    </row>
    <row r="672" ht="35.25" customHeight="1">
      <c r="A672" s="5">
        <v>671.0</v>
      </c>
      <c r="B672" s="18" t="s">
        <v>1338</v>
      </c>
      <c r="C672" s="6" t="str">
        <f>IFERROR(__xludf.DUMMYFUNCTION("REGEXEXTRACT(B672, ""^[A-Z0-9-]+"")"),"IC-210")</f>
        <v>IC-210</v>
      </c>
      <c r="D672" s="18" t="s">
        <v>1339</v>
      </c>
      <c r="E672" s="38" t="s">
        <v>10</v>
      </c>
      <c r="F672" s="18" t="s">
        <v>713</v>
      </c>
      <c r="G672" s="8" t="s">
        <v>27</v>
      </c>
      <c r="H672" s="5" t="str">
        <f>IFERROR(__xludf.DUMMYFUNCTION("REGEXEXTRACT(B672, ""\((\d+)\)"")"),"3")</f>
        <v>3</v>
      </c>
      <c r="I672" s="20"/>
      <c r="J672" s="20"/>
      <c r="K672" s="20"/>
      <c r="L672" s="20"/>
    </row>
    <row r="673" ht="35.25" customHeight="1">
      <c r="A673" s="5">
        <v>672.0</v>
      </c>
      <c r="B673" s="14" t="s">
        <v>1340</v>
      </c>
      <c r="C673" s="6" t="str">
        <f>IFERROR(__xludf.DUMMYFUNCTION("REGEXEXTRACT(B673, ""^[A-Z0-9-]+"")"),"IC-221")</f>
        <v>IC-221</v>
      </c>
      <c r="D673" s="14" t="s">
        <v>1341</v>
      </c>
      <c r="E673" s="25" t="s">
        <v>10</v>
      </c>
      <c r="F673" s="14" t="s">
        <v>713</v>
      </c>
      <c r="G673" s="8" t="s">
        <v>30</v>
      </c>
      <c r="H673" s="5" t="str">
        <f>IFERROR(__xludf.DUMMYFUNCTION("REGEXEXTRACT(B673, ""\((\d+)\)"")"),"3")</f>
        <v>3</v>
      </c>
      <c r="I673" s="5"/>
      <c r="J673" s="5"/>
      <c r="K673" s="5"/>
      <c r="L673" s="5"/>
    </row>
    <row r="674" ht="35.25" customHeight="1">
      <c r="A674" s="5">
        <v>673.0</v>
      </c>
      <c r="B674" s="14" t="s">
        <v>1342</v>
      </c>
      <c r="C674" s="6" t="str">
        <f>IFERROR(__xludf.DUMMYFUNCTION("REGEXEXTRACT(B674, ""^[A-Z0-9-]+"")"),"IC-222P")</f>
        <v>IC-222P</v>
      </c>
      <c r="D674" s="14" t="s">
        <v>1343</v>
      </c>
      <c r="E674" s="25" t="s">
        <v>10</v>
      </c>
      <c r="F674" s="14" t="s">
        <v>385</v>
      </c>
      <c r="G674" s="8" t="s">
        <v>33</v>
      </c>
      <c r="H674" s="5" t="str">
        <f>IFERROR(__xludf.DUMMYFUNCTION("REGEXEXTRACT(B674, ""\((\d+)\)"")"),"2")</f>
        <v>2</v>
      </c>
      <c r="I674" s="5"/>
      <c r="J674" s="5"/>
      <c r="K674" s="5"/>
      <c r="L674" s="5"/>
    </row>
    <row r="675" ht="35.25" customHeight="1">
      <c r="A675" s="5">
        <v>674.0</v>
      </c>
      <c r="B675" s="14" t="s">
        <v>1344</v>
      </c>
      <c r="C675" s="6" t="str">
        <f>IFERROR(__xludf.DUMMYFUNCTION("REGEXEXTRACT(B675, ""^[A-Z0-9-]+"")"),"IC")</f>
        <v>IC</v>
      </c>
      <c r="D675" s="14" t="s">
        <v>1345</v>
      </c>
      <c r="E675" s="25" t="s">
        <v>10</v>
      </c>
      <c r="F675" s="14" t="s">
        <v>19</v>
      </c>
      <c r="G675" s="8" t="s">
        <v>36</v>
      </c>
      <c r="H675" s="5" t="str">
        <f>IFERROR(__xludf.DUMMYFUNCTION("REGEXEXTRACT(B675, ""\((\d+)\)"")"),"3")</f>
        <v>3</v>
      </c>
      <c r="I675" s="5"/>
      <c r="J675" s="5"/>
      <c r="K675" s="5"/>
      <c r="L675" s="5"/>
    </row>
    <row r="676" ht="35.25" customHeight="1">
      <c r="A676" s="5">
        <v>675.0</v>
      </c>
      <c r="B676" s="14" t="s">
        <v>1346</v>
      </c>
      <c r="C676" s="6" t="str">
        <f>IFERROR(__xludf.DUMMYFUNCTION("REGEXEXTRACT(B676, ""^[A-Z0-9-]+"")"),"IC-231")</f>
        <v>IC-231</v>
      </c>
      <c r="D676" s="14" t="s">
        <v>1347</v>
      </c>
      <c r="E676" s="15" t="s">
        <v>87</v>
      </c>
      <c r="F676" s="14" t="s">
        <v>424</v>
      </c>
      <c r="G676" s="8" t="s">
        <v>39</v>
      </c>
      <c r="H676" s="5" t="str">
        <f>IFERROR(__xludf.DUMMYFUNCTION("REGEXEXTRACT(B676, ""\((\d+)\)"")"),"3")</f>
        <v>3</v>
      </c>
      <c r="I676" s="5"/>
      <c r="J676" s="5"/>
      <c r="K676" s="5"/>
      <c r="L676" s="5"/>
    </row>
    <row r="677" ht="35.25" customHeight="1">
      <c r="A677" s="5">
        <v>676.0</v>
      </c>
      <c r="B677" s="14" t="s">
        <v>1348</v>
      </c>
      <c r="C677" s="6" t="str">
        <f>IFERROR(__xludf.DUMMYFUNCTION("REGEXEXTRACT(B677, ""^[A-Z0-9-]+"")"),"IC")</f>
        <v>IC</v>
      </c>
      <c r="D677" s="14" t="s">
        <v>730</v>
      </c>
      <c r="E677" s="15" t="s">
        <v>10</v>
      </c>
      <c r="F677" s="14" t="s">
        <v>23</v>
      </c>
      <c r="G677" s="8" t="s">
        <v>12</v>
      </c>
      <c r="H677" s="5" t="str">
        <f>IFERROR(__xludf.DUMMYFUNCTION("REGEXEXTRACT(B677, ""\((\d+)\)"")"),"3")</f>
        <v>3</v>
      </c>
      <c r="I677" s="5"/>
      <c r="J677" s="5"/>
      <c r="K677" s="5"/>
      <c r="L677" s="5"/>
    </row>
    <row r="678" ht="35.25" customHeight="1">
      <c r="A678" s="5">
        <v>677.0</v>
      </c>
      <c r="B678" s="14" t="s">
        <v>1349</v>
      </c>
      <c r="C678" s="6" t="str">
        <f>IFERROR(__xludf.DUMMYFUNCTION("REGEXEXTRACT(B678, ""^[A-Z0-9-]+"")"),"IC-240")</f>
        <v>IC-240</v>
      </c>
      <c r="D678" s="14" t="s">
        <v>1350</v>
      </c>
      <c r="E678" s="15" t="s">
        <v>87</v>
      </c>
      <c r="F678" s="14">
        <v>3.0</v>
      </c>
      <c r="G678" s="8" t="s">
        <v>16</v>
      </c>
      <c r="H678" s="5" t="str">
        <f>IFERROR(__xludf.DUMMYFUNCTION("REGEXEXTRACT(B678, ""\((\d+)\)"")"),"3")</f>
        <v>3</v>
      </c>
      <c r="I678" s="5"/>
      <c r="J678" s="5"/>
      <c r="K678" s="5"/>
      <c r="L678" s="5"/>
    </row>
    <row r="679" ht="35.25" customHeight="1">
      <c r="A679" s="5">
        <v>678.0</v>
      </c>
      <c r="B679" s="14" t="s">
        <v>1349</v>
      </c>
      <c r="C679" s="6" t="str">
        <f>IFERROR(__xludf.DUMMYFUNCTION("REGEXEXTRACT(B679, ""^[A-Z0-9-]+"")"),"IC-240")</f>
        <v>IC-240</v>
      </c>
      <c r="D679" s="14" t="s">
        <v>1350</v>
      </c>
      <c r="E679" s="15" t="s">
        <v>10</v>
      </c>
      <c r="F679" s="14" t="s">
        <v>1351</v>
      </c>
      <c r="G679" s="8" t="s">
        <v>20</v>
      </c>
      <c r="H679" s="5" t="str">
        <f>IFERROR(__xludf.DUMMYFUNCTION("REGEXEXTRACT(B679, ""\((\d+)\)"")"),"3")</f>
        <v>3</v>
      </c>
      <c r="I679" s="5"/>
      <c r="J679" s="5"/>
      <c r="K679" s="5"/>
      <c r="L679" s="5"/>
    </row>
    <row r="680" ht="35.25" customHeight="1">
      <c r="A680" s="5">
        <v>679.0</v>
      </c>
      <c r="B680" s="14" t="s">
        <v>1352</v>
      </c>
      <c r="C680" s="6" t="str">
        <f>IFERROR(__xludf.DUMMYFUNCTION("REGEXEXTRACT(B680, ""^[A-Z0-9-]+"")"),"IC-241")</f>
        <v>IC-241</v>
      </c>
      <c r="D680" s="14" t="s">
        <v>1353</v>
      </c>
      <c r="E680" s="15" t="s">
        <v>10</v>
      </c>
      <c r="F680" s="14" t="s">
        <v>19</v>
      </c>
      <c r="G680" s="8" t="s">
        <v>24</v>
      </c>
      <c r="H680" s="5" t="str">
        <f>IFERROR(__xludf.DUMMYFUNCTION("REGEXEXTRACT(B680, ""\((\d+)\)"")"),"3")</f>
        <v>3</v>
      </c>
      <c r="I680" s="5"/>
      <c r="J680" s="5"/>
      <c r="K680" s="5"/>
      <c r="L680" s="5"/>
    </row>
    <row r="681" ht="35.25" customHeight="1">
      <c r="A681" s="5">
        <v>680.0</v>
      </c>
      <c r="B681" s="14" t="s">
        <v>1354</v>
      </c>
      <c r="C681" s="6" t="str">
        <f>IFERROR(__xludf.DUMMYFUNCTION("REGEXEXTRACT(B681, ""^[A-Z0-9-]+"")"),"IC-242")</f>
        <v>IC-242</v>
      </c>
      <c r="D681" s="14" t="s">
        <v>1355</v>
      </c>
      <c r="E681" s="15" t="s">
        <v>10</v>
      </c>
      <c r="F681" s="14" t="s">
        <v>19</v>
      </c>
      <c r="G681" s="8" t="s">
        <v>27</v>
      </c>
      <c r="H681" s="5" t="str">
        <f>IFERROR(__xludf.DUMMYFUNCTION("REGEXEXTRACT(B681, ""\((\d+)\)"")"),"3")</f>
        <v>3</v>
      </c>
      <c r="I681" s="5"/>
      <c r="J681" s="5"/>
      <c r="K681" s="5"/>
      <c r="L681" s="5"/>
    </row>
    <row r="682" ht="35.25" customHeight="1">
      <c r="A682" s="5">
        <v>681.0</v>
      </c>
      <c r="B682" s="18" t="s">
        <v>1356</v>
      </c>
      <c r="C682" s="6" t="str">
        <f>IFERROR(__xludf.DUMMYFUNCTION("REGEXEXTRACT(B682, ""^[A-Z0-9-]+"")"),"IC-250")</f>
        <v>IC-250</v>
      </c>
      <c r="D682" s="18" t="s">
        <v>382</v>
      </c>
      <c r="E682" s="19" t="s">
        <v>10</v>
      </c>
      <c r="F682" s="18" t="s">
        <v>424</v>
      </c>
      <c r="G682" s="8" t="s">
        <v>30</v>
      </c>
      <c r="H682" s="5" t="str">
        <f>IFERROR(__xludf.DUMMYFUNCTION("REGEXEXTRACT(B682, ""\((\d+)\)"")"),"3")</f>
        <v>3</v>
      </c>
      <c r="I682" s="20"/>
      <c r="J682" s="20"/>
      <c r="K682" s="20"/>
      <c r="L682" s="20"/>
    </row>
    <row r="683" ht="35.25" customHeight="1">
      <c r="A683" s="5">
        <v>682.0</v>
      </c>
      <c r="B683" s="14" t="s">
        <v>1357</v>
      </c>
      <c r="C683" s="6" t="str">
        <f>IFERROR(__xludf.DUMMYFUNCTION("REGEXEXTRACT(B683, ""^[A-Z0-9-]+"")"),"IC")</f>
        <v>IC</v>
      </c>
      <c r="D683" s="14" t="s">
        <v>1358</v>
      </c>
      <c r="E683" s="15" t="s">
        <v>10</v>
      </c>
      <c r="F683" s="14" t="s">
        <v>15</v>
      </c>
      <c r="G683" s="8" t="s">
        <v>33</v>
      </c>
      <c r="H683" s="5" t="str">
        <f>IFERROR(__xludf.DUMMYFUNCTION("REGEXEXTRACT(B683, ""\((\d+)\)"")"),"4")</f>
        <v>4</v>
      </c>
      <c r="I683" s="5"/>
      <c r="J683" s="5"/>
      <c r="K683" s="5"/>
      <c r="L683" s="5"/>
    </row>
    <row r="684" ht="35.25" customHeight="1">
      <c r="A684" s="5">
        <v>683.0</v>
      </c>
      <c r="B684" s="14" t="s">
        <v>1357</v>
      </c>
      <c r="C684" s="6" t="str">
        <f>IFERROR(__xludf.DUMMYFUNCTION("REGEXEXTRACT(B684, ""^[A-Z0-9-]+"")"),"IC")</f>
        <v>IC</v>
      </c>
      <c r="D684" s="14" t="s">
        <v>1359</v>
      </c>
      <c r="E684" s="15" t="s">
        <v>87</v>
      </c>
      <c r="F684" s="14">
        <v>4.0</v>
      </c>
      <c r="G684" s="8" t="s">
        <v>36</v>
      </c>
      <c r="H684" s="5" t="str">
        <f>IFERROR(__xludf.DUMMYFUNCTION("REGEXEXTRACT(B684, ""\((\d+)\)"")"),"4")</f>
        <v>4</v>
      </c>
      <c r="I684" s="5"/>
      <c r="J684" s="5"/>
      <c r="K684" s="5"/>
      <c r="L684" s="5"/>
    </row>
    <row r="685" ht="35.25" customHeight="1">
      <c r="A685" s="5">
        <v>684.0</v>
      </c>
      <c r="B685" s="22" t="s">
        <v>1360</v>
      </c>
      <c r="C685" s="6" t="str">
        <f>IFERROR(__xludf.DUMMYFUNCTION("REGEXEXTRACT(B685, ""^[A-Z0-9-]+"")"),"IC-253")</f>
        <v>IC-253</v>
      </c>
      <c r="D685" s="22" t="s">
        <v>1361</v>
      </c>
      <c r="E685" s="23" t="s">
        <v>10</v>
      </c>
      <c r="F685" s="22" t="s">
        <v>23</v>
      </c>
      <c r="G685" s="8" t="s">
        <v>39</v>
      </c>
      <c r="H685" s="5" t="str">
        <f>IFERROR(__xludf.DUMMYFUNCTION("REGEXEXTRACT(B685, ""\((\d+)\)"")"),"3")</f>
        <v>3</v>
      </c>
      <c r="I685" s="5"/>
      <c r="J685" s="5"/>
      <c r="K685" s="5"/>
      <c r="L685" s="5"/>
    </row>
    <row r="686" ht="35.25" customHeight="1">
      <c r="A686" s="5">
        <v>685.0</v>
      </c>
      <c r="B686" s="14" t="s">
        <v>1362</v>
      </c>
      <c r="C686" s="6" t="str">
        <f>IFERROR(__xludf.DUMMYFUNCTION("REGEXEXTRACT(B686, ""^[A-Z0-9-]+"")"),"IC-260")</f>
        <v>IC-260</v>
      </c>
      <c r="D686" s="14" t="s">
        <v>1363</v>
      </c>
      <c r="E686" s="15" t="s">
        <v>10</v>
      </c>
      <c r="F686" s="14" t="s">
        <v>713</v>
      </c>
      <c r="G686" s="8" t="s">
        <v>12</v>
      </c>
      <c r="H686" s="5" t="str">
        <f>IFERROR(__xludf.DUMMYFUNCTION("REGEXEXTRACT(B686, ""\((\d+)\)"")"),"3")</f>
        <v>3</v>
      </c>
      <c r="I686" s="5"/>
      <c r="J686" s="5"/>
      <c r="K686" s="5"/>
      <c r="L686" s="5"/>
    </row>
    <row r="687" ht="35.25" customHeight="1">
      <c r="A687" s="5">
        <v>686.0</v>
      </c>
      <c r="B687" s="14" t="s">
        <v>1364</v>
      </c>
      <c r="C687" s="6" t="str">
        <f>IFERROR(__xludf.DUMMYFUNCTION("REGEXEXTRACT(B687, ""^[A-Z0-9-]+"")"),"IC-272")</f>
        <v>IC-272</v>
      </c>
      <c r="D687" s="14" t="s">
        <v>1365</v>
      </c>
      <c r="E687" s="15" t="s">
        <v>10</v>
      </c>
      <c r="F687" s="14" t="s">
        <v>23</v>
      </c>
      <c r="G687" s="8" t="s">
        <v>16</v>
      </c>
      <c r="H687" s="5" t="str">
        <f>IFERROR(__xludf.DUMMYFUNCTION("REGEXEXTRACT(B687, ""\((\d+)\)"")"),"3")</f>
        <v>3</v>
      </c>
      <c r="I687" s="5"/>
      <c r="J687" s="5"/>
      <c r="K687" s="5"/>
      <c r="L687" s="5"/>
    </row>
    <row r="688" ht="35.25" customHeight="1">
      <c r="A688" s="5">
        <v>687.0</v>
      </c>
      <c r="B688" s="14" t="s">
        <v>1366</v>
      </c>
      <c r="C688" s="6" t="str">
        <f>IFERROR(__xludf.DUMMYFUNCTION("REGEXEXTRACT(B688, ""^[A-Z0-9-]+"")"),"IC-301P")</f>
        <v>IC-301P</v>
      </c>
      <c r="D688" s="14" t="s">
        <v>1367</v>
      </c>
      <c r="E688" s="15" t="s">
        <v>10</v>
      </c>
      <c r="F688" s="14" t="s">
        <v>645</v>
      </c>
      <c r="G688" s="8" t="s">
        <v>20</v>
      </c>
      <c r="H688" s="5" t="str">
        <f>IFERROR(__xludf.DUMMYFUNCTION("REGEXEXTRACT(B688, ""\((\d+)\)"")"),"4")</f>
        <v>4</v>
      </c>
      <c r="I688" s="5"/>
      <c r="J688" s="5"/>
      <c r="K688" s="5"/>
      <c r="L688" s="5"/>
    </row>
    <row r="689" ht="35.25" customHeight="1">
      <c r="A689" s="5">
        <v>688.0</v>
      </c>
      <c r="B689" s="18" t="s">
        <v>1368</v>
      </c>
      <c r="C689" s="6" t="str">
        <f>IFERROR(__xludf.DUMMYFUNCTION("REGEXEXTRACT(B689, ""^[A-Z0-9-]+"")"),"IC-401P")</f>
        <v>IC-401P</v>
      </c>
      <c r="D689" s="18" t="s">
        <v>1369</v>
      </c>
      <c r="E689" s="19" t="s">
        <v>10</v>
      </c>
      <c r="F689" s="18" t="s">
        <v>645</v>
      </c>
      <c r="G689" s="8" t="s">
        <v>24</v>
      </c>
      <c r="H689" s="5" t="str">
        <f>IFERROR(__xludf.DUMMYFUNCTION("REGEXEXTRACT(B689, ""\((\d+)\)"")"),"4")</f>
        <v>4</v>
      </c>
      <c r="I689" s="20"/>
      <c r="J689" s="20"/>
      <c r="K689" s="20"/>
      <c r="L689" s="20"/>
    </row>
    <row r="690" ht="35.25" customHeight="1">
      <c r="A690" s="5">
        <v>689.0</v>
      </c>
      <c r="B690" s="14" t="s">
        <v>1370</v>
      </c>
      <c r="C690" s="6" t="str">
        <f>IFERROR(__xludf.DUMMYFUNCTION("REGEXEXTRACT(B690, ""^[A-Z0-9-]+"")"),"IC-402P")</f>
        <v>IC-402P</v>
      </c>
      <c r="D690" s="14" t="s">
        <v>1371</v>
      </c>
      <c r="E690" s="15" t="s">
        <v>10</v>
      </c>
      <c r="F690" s="14" t="s">
        <v>645</v>
      </c>
      <c r="G690" s="8" t="s">
        <v>27</v>
      </c>
      <c r="H690" s="5" t="str">
        <f>IFERROR(__xludf.DUMMYFUNCTION("REGEXEXTRACT(B690, ""\((\d+)\)"")"),"4")</f>
        <v>4</v>
      </c>
      <c r="I690" s="5"/>
      <c r="J690" s="5"/>
      <c r="K690" s="5"/>
      <c r="L690" s="5"/>
    </row>
    <row r="691" ht="35.25" customHeight="1">
      <c r="A691" s="5">
        <v>690.0</v>
      </c>
      <c r="B691" s="14" t="s">
        <v>1372</v>
      </c>
      <c r="C691" s="6" t="str">
        <f>IFERROR(__xludf.DUMMYFUNCTION("REGEXEXTRACT(B691, ""^[A-Z0-9-]+"")"),"INT-010P")</f>
        <v>INT-010P</v>
      </c>
      <c r="D691" s="14" t="s">
        <v>1373</v>
      </c>
      <c r="E691" s="15" t="s">
        <v>87</v>
      </c>
      <c r="F691" s="14">
        <v>2.0</v>
      </c>
      <c r="G691" s="8" t="s">
        <v>30</v>
      </c>
      <c r="H691" s="5" t="str">
        <f>IFERROR(__xludf.DUMMYFUNCTION("REGEXEXTRACT(B691, ""\((\d+)\)"")"),"2")</f>
        <v>2</v>
      </c>
      <c r="I691" s="5"/>
      <c r="J691" s="5"/>
      <c r="K691" s="5"/>
      <c r="L691" s="5"/>
    </row>
    <row r="692" ht="35.25" customHeight="1">
      <c r="A692" s="5">
        <v>691.0</v>
      </c>
      <c r="B692" s="14" t="s">
        <v>1374</v>
      </c>
      <c r="C692" s="6" t="str">
        <f>IFERROR(__xludf.DUMMYFUNCTION("REGEXEXTRACT(B692, ""^[A-Z0-9-]+"")"),"IC")</f>
        <v>IC</v>
      </c>
      <c r="D692" s="14" t="s">
        <v>1375</v>
      </c>
      <c r="E692" s="15" t="s">
        <v>87</v>
      </c>
      <c r="F692" s="14" t="s">
        <v>19</v>
      </c>
      <c r="G692" s="8" t="s">
        <v>33</v>
      </c>
      <c r="H692" s="5" t="str">
        <f>IFERROR(__xludf.DUMMYFUNCTION("REGEXEXTRACT(B692, ""\((\d+)\)"")"),"3")</f>
        <v>3</v>
      </c>
      <c r="I692" s="5"/>
      <c r="J692" s="5"/>
      <c r="K692" s="5"/>
      <c r="L692" s="5"/>
    </row>
    <row r="693" ht="35.25" customHeight="1">
      <c r="A693" s="5">
        <v>692.0</v>
      </c>
      <c r="B693" s="24" t="s">
        <v>1376</v>
      </c>
      <c r="C693" s="6" t="str">
        <f>IFERROR(__xludf.DUMMYFUNCTION("REGEXEXTRACT(B693, ""^[A-Z0-9-]+"")"),"IK-501")</f>
        <v>IK-501</v>
      </c>
      <c r="D693" s="6" t="s">
        <v>1377</v>
      </c>
      <c r="E693" s="15" t="s">
        <v>10</v>
      </c>
      <c r="F693" s="24" t="s">
        <v>450</v>
      </c>
      <c r="G693" s="8" t="s">
        <v>36</v>
      </c>
      <c r="H693" s="5" t="str">
        <f>IFERROR(__xludf.DUMMYFUNCTION("REGEXEXTRACT(B693, ""\((\d+)\)"")"),"3")</f>
        <v>3</v>
      </c>
      <c r="I693" s="24"/>
      <c r="J693" s="24"/>
      <c r="K693" s="24"/>
      <c r="L693" s="24"/>
    </row>
    <row r="694" ht="35.25" customHeight="1">
      <c r="A694" s="5">
        <v>693.0</v>
      </c>
      <c r="B694" s="6" t="s">
        <v>1378</v>
      </c>
      <c r="C694" s="6" t="str">
        <f>IFERROR(__xludf.DUMMYFUNCTION("REGEXEXTRACT(B694, ""^[A-Z0-9-]+"")"),"IK-502")</f>
        <v>IK-502</v>
      </c>
      <c r="D694" s="6" t="s">
        <v>1379</v>
      </c>
      <c r="E694" s="15" t="s">
        <v>10</v>
      </c>
      <c r="F694" s="24" t="s">
        <v>15</v>
      </c>
      <c r="G694" s="8" t="s">
        <v>39</v>
      </c>
      <c r="H694" s="5" t="str">
        <f>IFERROR(__xludf.DUMMYFUNCTION("REGEXEXTRACT(B694, ""\((\d+)\)"")"),"4")</f>
        <v>4</v>
      </c>
      <c r="I694" s="24"/>
      <c r="J694" s="24"/>
      <c r="K694" s="24"/>
      <c r="L694" s="24"/>
    </row>
    <row r="695" ht="35.25" customHeight="1">
      <c r="A695" s="5">
        <v>694.0</v>
      </c>
      <c r="B695" s="24" t="s">
        <v>1380</v>
      </c>
      <c r="C695" s="6" t="str">
        <f>IFERROR(__xludf.DUMMYFUNCTION("REGEXEXTRACT(B695, ""^[A-Z0-9-]+"")"),"IK-503")</f>
        <v>IK-503</v>
      </c>
      <c r="D695" s="6" t="s">
        <v>1381</v>
      </c>
      <c r="E695" s="15" t="s">
        <v>10</v>
      </c>
      <c r="F695" s="24" t="s">
        <v>19</v>
      </c>
      <c r="G695" s="8" t="s">
        <v>12</v>
      </c>
      <c r="H695" s="5" t="str">
        <f>IFERROR(__xludf.DUMMYFUNCTION("REGEXEXTRACT(B695, ""\((\d+)\)"")"),"3")</f>
        <v>3</v>
      </c>
      <c r="I695" s="24"/>
      <c r="J695" s="24"/>
      <c r="K695" s="24"/>
      <c r="L695" s="24"/>
    </row>
    <row r="696" ht="35.25" customHeight="1">
      <c r="A696" s="5">
        <v>695.0</v>
      </c>
      <c r="B696" s="6" t="s">
        <v>1382</v>
      </c>
      <c r="C696" s="6" t="str">
        <f>IFERROR(__xludf.DUMMYFUNCTION("REGEXEXTRACT(B696, ""^[A-Z0-9-]+"")"),"IK-504")</f>
        <v>IK-504</v>
      </c>
      <c r="D696" s="6" t="s">
        <v>1383</v>
      </c>
      <c r="E696" s="15" t="s">
        <v>10</v>
      </c>
      <c r="F696" s="24" t="s">
        <v>19</v>
      </c>
      <c r="G696" s="8" t="s">
        <v>16</v>
      </c>
      <c r="H696" s="5" t="str">
        <f>IFERROR(__xludf.DUMMYFUNCTION("REGEXEXTRACT(B696, ""\((\d+)\)"")"),"3")</f>
        <v>3</v>
      </c>
      <c r="I696" s="24"/>
      <c r="J696" s="24"/>
      <c r="K696" s="24"/>
      <c r="L696" s="24"/>
    </row>
    <row r="697" ht="35.25" customHeight="1">
      <c r="A697" s="5">
        <v>696.0</v>
      </c>
      <c r="B697" s="6" t="s">
        <v>1384</v>
      </c>
      <c r="C697" s="6" t="str">
        <f>IFERROR(__xludf.DUMMYFUNCTION("REGEXEXTRACT(B697, ""^[A-Z0-9-]+"")"),"IK-505")</f>
        <v>IK-505</v>
      </c>
      <c r="D697" s="6" t="s">
        <v>1385</v>
      </c>
      <c r="E697" s="15" t="s">
        <v>10</v>
      </c>
      <c r="F697" s="24" t="s">
        <v>19</v>
      </c>
      <c r="G697" s="8" t="s">
        <v>20</v>
      </c>
      <c r="H697" s="5" t="str">
        <f>IFERROR(__xludf.DUMMYFUNCTION("REGEXEXTRACT(B697, ""\((\d+)\)"")"),"3")</f>
        <v>3</v>
      </c>
      <c r="I697" s="24"/>
      <c r="J697" s="24"/>
      <c r="K697" s="24"/>
      <c r="L697" s="24"/>
    </row>
    <row r="698" ht="35.25" customHeight="1">
      <c r="A698" s="5">
        <v>697.0</v>
      </c>
      <c r="B698" s="12" t="s">
        <v>1386</v>
      </c>
      <c r="C698" s="6" t="str">
        <f>IFERROR(__xludf.DUMMYFUNCTION("REGEXEXTRACT(B698, ""^[A-Z0-9-]+"")"),"IK")</f>
        <v>IK</v>
      </c>
      <c r="D698" s="6" t="s">
        <v>1387</v>
      </c>
      <c r="E698" s="15" t="s">
        <v>10</v>
      </c>
      <c r="F698" s="24" t="s">
        <v>237</v>
      </c>
      <c r="G698" s="8" t="s">
        <v>24</v>
      </c>
      <c r="H698" s="5" t="str">
        <f>IFERROR(__xludf.DUMMYFUNCTION("REGEXEXTRACT(B698, ""\((\d+)\)"")"),"3")</f>
        <v>3</v>
      </c>
      <c r="I698" s="24"/>
      <c r="J698" s="24"/>
      <c r="K698" s="24"/>
      <c r="L698" s="24"/>
    </row>
    <row r="699" ht="35.25" customHeight="1">
      <c r="A699" s="5">
        <v>698.0</v>
      </c>
      <c r="B699" s="12" t="s">
        <v>1388</v>
      </c>
      <c r="C699" s="6" t="str">
        <f>IFERROR(__xludf.DUMMYFUNCTION("REGEXEXTRACT(B699, ""^[A-Z0-9-]+"")"),"IK")</f>
        <v>IK</v>
      </c>
      <c r="D699" s="6" t="s">
        <v>1389</v>
      </c>
      <c r="E699" s="15" t="s">
        <v>10</v>
      </c>
      <c r="F699" s="24" t="s">
        <v>19</v>
      </c>
      <c r="G699" s="8" t="s">
        <v>27</v>
      </c>
      <c r="H699" s="5" t="str">
        <f>IFERROR(__xludf.DUMMYFUNCTION("REGEXEXTRACT(B699, ""\((\d+)\)"")"),"3")</f>
        <v>3</v>
      </c>
      <c r="I699" s="24"/>
      <c r="J699" s="24"/>
      <c r="K699" s="24"/>
      <c r="L699" s="24"/>
    </row>
    <row r="700" ht="35.25" customHeight="1">
      <c r="A700" s="5">
        <v>699.0</v>
      </c>
      <c r="B700" s="11" t="s">
        <v>1390</v>
      </c>
      <c r="C700" s="6" t="str">
        <f>IFERROR(__xludf.DUMMYFUNCTION("REGEXEXTRACT(B700, ""^[A-Z0-9-]+"")"),"IK-508")</f>
        <v>IK-508</v>
      </c>
      <c r="D700" s="22" t="s">
        <v>1391</v>
      </c>
      <c r="E700" s="15" t="s">
        <v>10</v>
      </c>
      <c r="F700" s="24" t="s">
        <v>23</v>
      </c>
      <c r="G700" s="8" t="s">
        <v>30</v>
      </c>
      <c r="H700" s="5" t="str">
        <f>IFERROR(__xludf.DUMMYFUNCTION("REGEXEXTRACT(B700, ""\((\d+)\)"")"),"3")</f>
        <v>3</v>
      </c>
      <c r="I700" s="24"/>
      <c r="J700" s="24"/>
      <c r="K700" s="24"/>
      <c r="L700" s="24"/>
    </row>
    <row r="701" ht="35.25" customHeight="1">
      <c r="A701" s="5">
        <v>700.0</v>
      </c>
      <c r="B701" s="11" t="s">
        <v>1392</v>
      </c>
      <c r="C701" s="6" t="str">
        <f>IFERROR(__xludf.DUMMYFUNCTION("REGEXEXTRACT(B701, ""^[A-Z0-9-]+"")"),"IK-509")</f>
        <v>IK-509</v>
      </c>
      <c r="D701" s="22" t="s">
        <v>194</v>
      </c>
      <c r="E701" s="15" t="s">
        <v>10</v>
      </c>
      <c r="F701" s="24" t="s">
        <v>77</v>
      </c>
      <c r="G701" s="8" t="s">
        <v>33</v>
      </c>
      <c r="H701" s="5" t="str">
        <f>IFERROR(__xludf.DUMMYFUNCTION("REGEXEXTRACT(B701, ""\((\d+)\)"")"),"1")</f>
        <v>1</v>
      </c>
      <c r="I701" s="24"/>
      <c r="J701" s="24"/>
      <c r="K701" s="24"/>
      <c r="L701" s="24"/>
    </row>
    <row r="702" ht="35.25" customHeight="1">
      <c r="A702" s="5">
        <v>701.0</v>
      </c>
      <c r="B702" s="12" t="s">
        <v>1393</v>
      </c>
      <c r="C702" s="6" t="str">
        <f>IFERROR(__xludf.DUMMYFUNCTION("REGEXEXTRACT(B702, ""^[A-Z0-9-]+"")"),"IK-510")</f>
        <v>IK-510</v>
      </c>
      <c r="D702" s="6" t="s">
        <v>1394</v>
      </c>
      <c r="E702" s="15" t="s">
        <v>10</v>
      </c>
      <c r="F702" s="24" t="s">
        <v>11</v>
      </c>
      <c r="G702" s="8" t="s">
        <v>36</v>
      </c>
      <c r="H702" s="5" t="str">
        <f>IFERROR(__xludf.DUMMYFUNCTION("REGEXEXTRACT(B702, ""\((\d+)\)"")"),"4")</f>
        <v>4</v>
      </c>
      <c r="I702" s="24"/>
      <c r="J702" s="24"/>
      <c r="K702" s="24"/>
      <c r="L702" s="24"/>
    </row>
    <row r="703" ht="35.25" customHeight="1">
      <c r="A703" s="5">
        <v>702.0</v>
      </c>
      <c r="B703" s="12" t="s">
        <v>1395</v>
      </c>
      <c r="C703" s="6" t="str">
        <f>IFERROR(__xludf.DUMMYFUNCTION("REGEXEXTRACT(B703, ""^[A-Z0-9-]+"")"),"IK-511")</f>
        <v>IK-511</v>
      </c>
      <c r="D703" s="6" t="s">
        <v>1396</v>
      </c>
      <c r="E703" s="15" t="s">
        <v>10</v>
      </c>
      <c r="F703" s="24" t="s">
        <v>19</v>
      </c>
      <c r="G703" s="8" t="s">
        <v>39</v>
      </c>
      <c r="H703" s="5" t="str">
        <f>IFERROR(__xludf.DUMMYFUNCTION("REGEXEXTRACT(B703, ""\((\d+)\)"")"),"3")</f>
        <v>3</v>
      </c>
      <c r="I703" s="24"/>
      <c r="J703" s="24"/>
      <c r="K703" s="24"/>
      <c r="L703" s="24"/>
    </row>
    <row r="704" ht="35.25" customHeight="1">
      <c r="A704" s="5">
        <v>703.0</v>
      </c>
      <c r="B704" s="12" t="s">
        <v>1397</v>
      </c>
      <c r="C704" s="6" t="str">
        <f>IFERROR(__xludf.DUMMYFUNCTION("REGEXEXTRACT(B704, ""^[A-Z0-9-]+"")"),"IK-512")</f>
        <v>IK-512</v>
      </c>
      <c r="D704" s="39" t="s">
        <v>1398</v>
      </c>
      <c r="E704" s="15" t="s">
        <v>10</v>
      </c>
      <c r="F704" s="24" t="s">
        <v>19</v>
      </c>
      <c r="G704" s="8" t="s">
        <v>12</v>
      </c>
      <c r="H704" s="5" t="str">
        <f>IFERROR(__xludf.DUMMYFUNCTION("REGEXEXTRACT(B704, ""\((\d+)\)"")"),"3")</f>
        <v>3</v>
      </c>
      <c r="I704" s="24"/>
      <c r="J704" s="24"/>
      <c r="K704" s="24"/>
      <c r="L704" s="24"/>
    </row>
    <row r="705" ht="35.25" customHeight="1">
      <c r="A705" s="5">
        <v>704.0</v>
      </c>
      <c r="B705" s="12" t="s">
        <v>1399</v>
      </c>
      <c r="C705" s="6" t="str">
        <f>IFERROR(__xludf.DUMMYFUNCTION("REGEXEXTRACT(B705, ""^[A-Z0-9-]+"")"),"IK-513")</f>
        <v>IK-513</v>
      </c>
      <c r="D705" s="6" t="s">
        <v>1400</v>
      </c>
      <c r="E705" s="15" t="s">
        <v>10</v>
      </c>
      <c r="F705" s="24" t="s">
        <v>23</v>
      </c>
      <c r="G705" s="8" t="s">
        <v>16</v>
      </c>
      <c r="H705" s="5" t="str">
        <f>IFERROR(__xludf.DUMMYFUNCTION("REGEXEXTRACT(B705, ""\((\d+)\)"")"),"3")</f>
        <v>3</v>
      </c>
      <c r="I705" s="24"/>
      <c r="J705" s="24"/>
      <c r="K705" s="24"/>
      <c r="L705" s="24"/>
    </row>
    <row r="706" ht="35.25" customHeight="1">
      <c r="A706" s="5">
        <v>705.0</v>
      </c>
      <c r="B706" s="12" t="s">
        <v>1401</v>
      </c>
      <c r="C706" s="6" t="str">
        <f>IFERROR(__xludf.DUMMYFUNCTION("REGEXEXTRACT(B706, ""^[A-Z0-9-]+"")"),"IK-514")</f>
        <v>IK-514</v>
      </c>
      <c r="D706" s="39" t="s">
        <v>1402</v>
      </c>
      <c r="E706" s="15" t="s">
        <v>10</v>
      </c>
      <c r="F706" s="24" t="s">
        <v>23</v>
      </c>
      <c r="G706" s="8" t="s">
        <v>20</v>
      </c>
      <c r="H706" s="5" t="str">
        <f>IFERROR(__xludf.DUMMYFUNCTION("REGEXEXTRACT(B706, ""\((\d+)\)"")"),"3")</f>
        <v>3</v>
      </c>
      <c r="I706" s="24"/>
      <c r="J706" s="24"/>
      <c r="K706" s="24"/>
      <c r="L706" s="24"/>
    </row>
    <row r="707" ht="35.25" customHeight="1">
      <c r="A707" s="5">
        <v>706.0</v>
      </c>
      <c r="B707" s="12" t="s">
        <v>1403</v>
      </c>
      <c r="C707" s="6" t="str">
        <f>IFERROR(__xludf.DUMMYFUNCTION("REGEXEXTRACT(B707, ""^[A-Z0-9-]+"")"),"IK-515")</f>
        <v>IK-515</v>
      </c>
      <c r="D707" s="6" t="s">
        <v>1404</v>
      </c>
      <c r="E707" s="15" t="s">
        <v>10</v>
      </c>
      <c r="F707" s="24" t="s">
        <v>19</v>
      </c>
      <c r="G707" s="8" t="s">
        <v>24</v>
      </c>
      <c r="H707" s="5" t="str">
        <f>IFERROR(__xludf.DUMMYFUNCTION("REGEXEXTRACT(B707, ""\((\d+)\)"")"),"3")</f>
        <v>3</v>
      </c>
      <c r="I707" s="24"/>
      <c r="J707" s="24"/>
      <c r="K707" s="24"/>
      <c r="L707" s="24"/>
    </row>
    <row r="708" ht="35.25" customHeight="1">
      <c r="A708" s="5">
        <v>707.0</v>
      </c>
      <c r="B708" s="12" t="s">
        <v>1405</v>
      </c>
      <c r="C708" s="6" t="str">
        <f>IFERROR(__xludf.DUMMYFUNCTION("REGEXEXTRACT(B708, ""^[A-Z0-9-]+"")"),"IK-530")</f>
        <v>IK-530</v>
      </c>
      <c r="D708" s="6" t="s">
        <v>1406</v>
      </c>
      <c r="E708" s="15" t="s">
        <v>10</v>
      </c>
      <c r="F708" s="24" t="s">
        <v>19</v>
      </c>
      <c r="G708" s="8" t="s">
        <v>27</v>
      </c>
      <c r="H708" s="5" t="str">
        <f>IFERROR(__xludf.DUMMYFUNCTION("REGEXEXTRACT(B708, ""\((\d+)\)"")"),"3")</f>
        <v>3</v>
      </c>
      <c r="I708" s="24"/>
      <c r="J708" s="24"/>
      <c r="K708" s="24"/>
      <c r="L708" s="24"/>
    </row>
    <row r="709" ht="35.25" customHeight="1">
      <c r="A709" s="5">
        <v>708.0</v>
      </c>
      <c r="B709" s="12" t="s">
        <v>1407</v>
      </c>
      <c r="C709" s="6" t="str">
        <f>IFERROR(__xludf.DUMMYFUNCTION("REGEXEXTRACT(B709, ""^[A-Z0-9-]+"")"),"IK-535")</f>
        <v>IK-535</v>
      </c>
      <c r="D709" s="6" t="s">
        <v>1408</v>
      </c>
      <c r="E709" s="15" t="s">
        <v>10</v>
      </c>
      <c r="F709" s="24" t="s">
        <v>19</v>
      </c>
      <c r="G709" s="8" t="s">
        <v>30</v>
      </c>
      <c r="H709" s="5" t="str">
        <f>IFERROR(__xludf.DUMMYFUNCTION("REGEXEXTRACT(B709, ""\((\d+)\)"")"),"3")</f>
        <v>3</v>
      </c>
      <c r="I709" s="24"/>
      <c r="J709" s="24"/>
      <c r="K709" s="24"/>
      <c r="L709" s="24"/>
    </row>
    <row r="710" ht="35.25" customHeight="1">
      <c r="A710" s="5">
        <v>709.0</v>
      </c>
      <c r="B710" s="12" t="s">
        <v>1409</v>
      </c>
      <c r="C710" s="6" t="str">
        <f>IFERROR(__xludf.DUMMYFUNCTION("REGEXEXTRACT(B710, ""^[A-Z0-9-]+"")"),"IK-536")</f>
        <v>IK-536</v>
      </c>
      <c r="D710" s="6" t="s">
        <v>1410</v>
      </c>
      <c r="E710" s="15" t="s">
        <v>10</v>
      </c>
      <c r="F710" s="24" t="s">
        <v>19</v>
      </c>
      <c r="G710" s="8" t="s">
        <v>33</v>
      </c>
      <c r="H710" s="5" t="str">
        <f>IFERROR(__xludf.DUMMYFUNCTION("REGEXEXTRACT(B710, ""\((\d+)\)"")"),"3")</f>
        <v>3</v>
      </c>
      <c r="I710" s="24"/>
      <c r="J710" s="24"/>
      <c r="K710" s="24"/>
      <c r="L710" s="24"/>
    </row>
    <row r="711" ht="35.25" customHeight="1">
      <c r="A711" s="5">
        <v>710.0</v>
      </c>
      <c r="B711" s="12" t="s">
        <v>1411</v>
      </c>
      <c r="C711" s="6" t="str">
        <f>IFERROR(__xludf.DUMMYFUNCTION("REGEXEXTRACT(B711, ""^[A-Z0-9-]+"")"),"IK-538")</f>
        <v>IK-538</v>
      </c>
      <c r="D711" s="6" t="s">
        <v>1412</v>
      </c>
      <c r="E711" s="15" t="s">
        <v>10</v>
      </c>
      <c r="F711" s="24" t="s">
        <v>19</v>
      </c>
      <c r="G711" s="8" t="s">
        <v>36</v>
      </c>
      <c r="H711" s="5" t="str">
        <f>IFERROR(__xludf.DUMMYFUNCTION("REGEXEXTRACT(B711, ""\((\d+)\)"")"),"3")</f>
        <v>3</v>
      </c>
      <c r="I711" s="24"/>
      <c r="J711" s="24"/>
      <c r="K711" s="24"/>
      <c r="L711" s="24"/>
    </row>
    <row r="712" ht="35.25" customHeight="1">
      <c r="A712" s="5">
        <v>711.0</v>
      </c>
      <c r="B712" s="12" t="s">
        <v>1413</v>
      </c>
      <c r="C712" s="6" t="str">
        <f>IFERROR(__xludf.DUMMYFUNCTION("REGEXEXTRACT(B712, ""^[A-Z0-9-]+"")"),"IK-539")</f>
        <v>IK-539</v>
      </c>
      <c r="D712" s="6" t="s">
        <v>1414</v>
      </c>
      <c r="E712" s="15" t="s">
        <v>10</v>
      </c>
      <c r="F712" s="24" t="s">
        <v>19</v>
      </c>
      <c r="G712" s="8" t="s">
        <v>39</v>
      </c>
      <c r="H712" s="5" t="str">
        <f>IFERROR(__xludf.DUMMYFUNCTION("REGEXEXTRACT(B712, ""\((\d+)\)"")"),"3")</f>
        <v>3</v>
      </c>
      <c r="I712" s="24"/>
      <c r="J712" s="24"/>
      <c r="K712" s="24"/>
      <c r="L712" s="24"/>
    </row>
    <row r="713" ht="35.25" customHeight="1">
      <c r="A713" s="5">
        <v>712.0</v>
      </c>
      <c r="B713" s="12" t="s">
        <v>1415</v>
      </c>
      <c r="C713" s="6" t="str">
        <f>IFERROR(__xludf.DUMMYFUNCTION("REGEXEXTRACT(B713, ""^[A-Z0-9-]+"")"),"IK-540")</f>
        <v>IK-540</v>
      </c>
      <c r="D713" s="6" t="s">
        <v>1416</v>
      </c>
      <c r="E713" s="15" t="s">
        <v>10</v>
      </c>
      <c r="F713" s="24" t="s">
        <v>19</v>
      </c>
      <c r="G713" s="8" t="s">
        <v>12</v>
      </c>
      <c r="H713" s="5" t="str">
        <f>IFERROR(__xludf.DUMMYFUNCTION("REGEXEXTRACT(B713, ""\((\d+)\)"")"),"3")</f>
        <v>3</v>
      </c>
      <c r="I713" s="24"/>
      <c r="J713" s="24"/>
      <c r="K713" s="24"/>
      <c r="L713" s="24"/>
    </row>
    <row r="714" ht="35.25" customHeight="1">
      <c r="A714" s="5">
        <v>713.0</v>
      </c>
      <c r="B714" s="12" t="s">
        <v>1417</v>
      </c>
      <c r="C714" s="6" t="str">
        <f>IFERROR(__xludf.DUMMYFUNCTION("REGEXEXTRACT(B714, ""^[A-Z0-9-]+"")"),"IK-541")</f>
        <v>IK-541</v>
      </c>
      <c r="D714" s="6" t="s">
        <v>1418</v>
      </c>
      <c r="E714" s="15" t="s">
        <v>10</v>
      </c>
      <c r="F714" s="24" t="s">
        <v>19</v>
      </c>
      <c r="G714" s="8" t="s">
        <v>16</v>
      </c>
      <c r="H714" s="5" t="str">
        <f>IFERROR(__xludf.DUMMYFUNCTION("REGEXEXTRACT(B714, ""\((\d+)\)"")"),"3")</f>
        <v>3</v>
      </c>
      <c r="I714" s="24"/>
      <c r="J714" s="24"/>
      <c r="K714" s="24"/>
      <c r="L714" s="24"/>
    </row>
    <row r="715" ht="35.25" customHeight="1">
      <c r="A715" s="5">
        <v>714.0</v>
      </c>
      <c r="B715" s="12" t="s">
        <v>1419</v>
      </c>
      <c r="C715" s="6" t="str">
        <f>IFERROR(__xludf.DUMMYFUNCTION("REGEXEXTRACT(B715, ""^[A-Z0-9-]+"")"),"IK-542")</f>
        <v>IK-542</v>
      </c>
      <c r="D715" s="6" t="s">
        <v>1420</v>
      </c>
      <c r="E715" s="15" t="s">
        <v>10</v>
      </c>
      <c r="F715" s="24" t="s">
        <v>19</v>
      </c>
      <c r="G715" s="8" t="s">
        <v>20</v>
      </c>
      <c r="H715" s="5" t="str">
        <f>IFERROR(__xludf.DUMMYFUNCTION("REGEXEXTRACT(B715, ""\((\d+)\)"")"),"3")</f>
        <v>3</v>
      </c>
      <c r="I715" s="24"/>
      <c r="J715" s="24"/>
      <c r="K715" s="24"/>
      <c r="L715" s="24"/>
    </row>
    <row r="716" ht="35.25" customHeight="1">
      <c r="A716" s="5">
        <v>715.0</v>
      </c>
      <c r="B716" s="12" t="s">
        <v>1421</v>
      </c>
      <c r="C716" s="6" t="str">
        <f>IFERROR(__xludf.DUMMYFUNCTION("REGEXEXTRACT(B716, ""^[A-Z0-9-]+"")"),"IK-547")</f>
        <v>IK-547</v>
      </c>
      <c r="D716" s="6" t="s">
        <v>1422</v>
      </c>
      <c r="E716" s="15" t="s">
        <v>10</v>
      </c>
      <c r="F716" s="24" t="s">
        <v>19</v>
      </c>
      <c r="G716" s="8" t="s">
        <v>24</v>
      </c>
      <c r="H716" s="5" t="str">
        <f>IFERROR(__xludf.DUMMYFUNCTION("REGEXEXTRACT(B716, ""\((\d+)\)"")"),"3")</f>
        <v>3</v>
      </c>
      <c r="I716" s="24"/>
      <c r="J716" s="24"/>
      <c r="K716" s="24"/>
      <c r="L716" s="24"/>
    </row>
    <row r="717" ht="35.25" customHeight="1">
      <c r="A717" s="5">
        <v>716.0</v>
      </c>
      <c r="B717" s="12" t="s">
        <v>1423</v>
      </c>
      <c r="C717" s="6" t="str">
        <f>IFERROR(__xludf.DUMMYFUNCTION("REGEXEXTRACT(B717, ""^[A-Z0-9-]+"")"),"IK-548")</f>
        <v>IK-548</v>
      </c>
      <c r="D717" s="6" t="s">
        <v>1424</v>
      </c>
      <c r="E717" s="15" t="s">
        <v>10</v>
      </c>
      <c r="F717" s="24" t="s">
        <v>19</v>
      </c>
      <c r="G717" s="8" t="s">
        <v>27</v>
      </c>
      <c r="H717" s="5" t="str">
        <f>IFERROR(__xludf.DUMMYFUNCTION("REGEXEXTRACT(B717, ""\((\d+)\)"")"),"3")</f>
        <v>3</v>
      </c>
      <c r="I717" s="24"/>
      <c r="J717" s="24"/>
      <c r="K717" s="24"/>
      <c r="L717" s="24"/>
    </row>
    <row r="718" ht="35.25" customHeight="1">
      <c r="A718" s="5">
        <v>717.0</v>
      </c>
      <c r="B718" s="12" t="s">
        <v>1425</v>
      </c>
      <c r="C718" s="6" t="str">
        <f>IFERROR(__xludf.DUMMYFUNCTION("REGEXEXTRACT(B718, ""^[A-Z0-9-]+"")"),"IK-551")</f>
        <v>IK-551</v>
      </c>
      <c r="D718" s="6" t="s">
        <v>1426</v>
      </c>
      <c r="E718" s="15" t="s">
        <v>10</v>
      </c>
      <c r="F718" s="24" t="s">
        <v>19</v>
      </c>
      <c r="G718" s="8" t="s">
        <v>30</v>
      </c>
      <c r="H718" s="5" t="str">
        <f>IFERROR(__xludf.DUMMYFUNCTION("REGEXEXTRACT(B718, ""\((\d+)\)"")"),"3")</f>
        <v>3</v>
      </c>
      <c r="I718" s="24"/>
      <c r="J718" s="24"/>
      <c r="K718" s="24"/>
      <c r="L718" s="24"/>
    </row>
    <row r="719" ht="35.25" customHeight="1">
      <c r="A719" s="5">
        <v>718.0</v>
      </c>
      <c r="B719" s="12" t="s">
        <v>1427</v>
      </c>
      <c r="C719" s="6" t="str">
        <f>IFERROR(__xludf.DUMMYFUNCTION("REGEXEXTRACT(B719, ""^[A-Z0-9-]+"")"),"IK-552")</f>
        <v>IK-552</v>
      </c>
      <c r="D719" s="6" t="s">
        <v>1428</v>
      </c>
      <c r="E719" s="15" t="s">
        <v>10</v>
      </c>
      <c r="F719" s="24" t="s">
        <v>19</v>
      </c>
      <c r="G719" s="8" t="s">
        <v>33</v>
      </c>
      <c r="H719" s="5" t="str">
        <f>IFERROR(__xludf.DUMMYFUNCTION("REGEXEXTRACT(B719, ""\((\d+)\)"")"),"3")</f>
        <v>3</v>
      </c>
      <c r="I719" s="24"/>
      <c r="J719" s="24"/>
      <c r="K719" s="24"/>
      <c r="L719" s="24"/>
    </row>
    <row r="720" ht="35.25" customHeight="1">
      <c r="A720" s="5">
        <v>719.0</v>
      </c>
      <c r="B720" s="12" t="s">
        <v>1429</v>
      </c>
      <c r="C720" s="6" t="str">
        <f>IFERROR(__xludf.DUMMYFUNCTION("REGEXEXTRACT(B720, ""^[A-Z0-9-]+"")"),"IK-553")</f>
        <v>IK-553</v>
      </c>
      <c r="D720" s="6" t="s">
        <v>1430</v>
      </c>
      <c r="E720" s="15" t="s">
        <v>10</v>
      </c>
      <c r="F720" s="24" t="s">
        <v>19</v>
      </c>
      <c r="G720" s="8" t="s">
        <v>36</v>
      </c>
      <c r="H720" s="5" t="str">
        <f>IFERROR(__xludf.DUMMYFUNCTION("REGEXEXTRACT(B720, ""\((\d+)\)"")"),"3")</f>
        <v>3</v>
      </c>
      <c r="I720" s="24"/>
      <c r="J720" s="24"/>
      <c r="K720" s="24"/>
      <c r="L720" s="24"/>
    </row>
    <row r="721" ht="35.25" customHeight="1">
      <c r="A721" s="5">
        <v>720.0</v>
      </c>
      <c r="B721" s="12" t="s">
        <v>1431</v>
      </c>
      <c r="C721" s="6" t="str">
        <f>IFERROR(__xludf.DUMMYFUNCTION("REGEXEXTRACT(B721, ""^[A-Z0-9-]+"")"),"IK-554")</f>
        <v>IK-554</v>
      </c>
      <c r="D721" s="6" t="s">
        <v>1432</v>
      </c>
      <c r="E721" s="15" t="s">
        <v>10</v>
      </c>
      <c r="F721" s="24" t="s">
        <v>19</v>
      </c>
      <c r="G721" s="8" t="s">
        <v>39</v>
      </c>
      <c r="H721" s="5" t="str">
        <f>IFERROR(__xludf.DUMMYFUNCTION("REGEXEXTRACT(B721, ""\((\d+)\)"")"),"3")</f>
        <v>3</v>
      </c>
      <c r="I721" s="24"/>
      <c r="J721" s="24"/>
      <c r="K721" s="24"/>
      <c r="L721" s="24"/>
    </row>
    <row r="722" ht="35.25" customHeight="1">
      <c r="A722" s="5">
        <v>721.0</v>
      </c>
      <c r="B722" s="12" t="s">
        <v>1433</v>
      </c>
      <c r="C722" s="6" t="str">
        <f>IFERROR(__xludf.DUMMYFUNCTION("REGEXEXTRACT(B722, ""^[A-Z0-9-]+"")"),"IK-555")</f>
        <v>IK-555</v>
      </c>
      <c r="D722" s="6" t="s">
        <v>1434</v>
      </c>
      <c r="E722" s="15" t="s">
        <v>10</v>
      </c>
      <c r="F722" s="24" t="s">
        <v>19</v>
      </c>
      <c r="G722" s="8" t="s">
        <v>12</v>
      </c>
      <c r="H722" s="5" t="str">
        <f>IFERROR(__xludf.DUMMYFUNCTION("REGEXEXTRACT(B722, ""\((\d+)\)"")"),"3")</f>
        <v>3</v>
      </c>
      <c r="I722" s="24"/>
      <c r="J722" s="24"/>
      <c r="K722" s="24"/>
      <c r="L722" s="24"/>
    </row>
    <row r="723" ht="35.25" customHeight="1">
      <c r="A723" s="5">
        <v>722.0</v>
      </c>
      <c r="B723" s="12" t="s">
        <v>1435</v>
      </c>
      <c r="C723" s="6" t="str">
        <f>IFERROR(__xludf.DUMMYFUNCTION("REGEXEXTRACT(B723, ""^[A-Z0-9-]+"")"),"IK-556")</f>
        <v>IK-556</v>
      </c>
      <c r="D723" s="6" t="s">
        <v>1436</v>
      </c>
      <c r="E723" s="15" t="s">
        <v>10</v>
      </c>
      <c r="F723" s="24" t="s">
        <v>19</v>
      </c>
      <c r="G723" s="8" t="s">
        <v>16</v>
      </c>
      <c r="H723" s="5" t="str">
        <f>IFERROR(__xludf.DUMMYFUNCTION("REGEXEXTRACT(B723, ""\((\d+)\)"")"),"3")</f>
        <v>3</v>
      </c>
      <c r="I723" s="24"/>
      <c r="J723" s="24"/>
      <c r="K723" s="24"/>
      <c r="L723" s="24"/>
    </row>
    <row r="724" ht="35.25" customHeight="1">
      <c r="A724" s="5">
        <v>723.0</v>
      </c>
      <c r="B724" s="12" t="s">
        <v>1437</v>
      </c>
      <c r="C724" s="6" t="str">
        <f>IFERROR(__xludf.DUMMYFUNCTION("REGEXEXTRACT(B724, ""^[A-Z0-9-]+"")"),"IK-557")</f>
        <v>IK-557</v>
      </c>
      <c r="D724" s="6" t="s">
        <v>1438</v>
      </c>
      <c r="E724" s="15" t="s">
        <v>10</v>
      </c>
      <c r="F724" s="24" t="s">
        <v>19</v>
      </c>
      <c r="G724" s="8" t="s">
        <v>20</v>
      </c>
      <c r="H724" s="5" t="str">
        <f>IFERROR(__xludf.DUMMYFUNCTION("REGEXEXTRACT(B724, ""\((\d+)\)"")"),"3")</f>
        <v>3</v>
      </c>
      <c r="I724" s="24"/>
      <c r="J724" s="24"/>
      <c r="K724" s="24"/>
      <c r="L724" s="24"/>
    </row>
    <row r="725" ht="35.25" customHeight="1">
      <c r="A725" s="5">
        <v>724.0</v>
      </c>
      <c r="B725" s="12" t="s">
        <v>1439</v>
      </c>
      <c r="C725" s="6" t="str">
        <f>IFERROR(__xludf.DUMMYFUNCTION("REGEXEXTRACT(B725, ""^[A-Z0-9-]+"")"),"IK-558")</f>
        <v>IK-558</v>
      </c>
      <c r="D725" s="6" t="s">
        <v>1440</v>
      </c>
      <c r="E725" s="15" t="s">
        <v>10</v>
      </c>
      <c r="F725" s="24" t="s">
        <v>19</v>
      </c>
      <c r="G725" s="8" t="s">
        <v>24</v>
      </c>
      <c r="H725" s="5" t="str">
        <f>IFERROR(__xludf.DUMMYFUNCTION("REGEXEXTRACT(B725, ""\((\d+)\)"")"),"3")</f>
        <v>3</v>
      </c>
      <c r="I725" s="24"/>
      <c r="J725" s="24"/>
      <c r="K725" s="24"/>
      <c r="L725" s="24"/>
    </row>
    <row r="726" ht="35.25" customHeight="1">
      <c r="A726" s="5">
        <v>725.0</v>
      </c>
      <c r="B726" s="12" t="s">
        <v>1441</v>
      </c>
      <c r="C726" s="6" t="str">
        <f>IFERROR(__xludf.DUMMYFUNCTION("REGEXEXTRACT(B726, ""^[A-Z0-9-]+"")"),"IK-559")</f>
        <v>IK-559</v>
      </c>
      <c r="D726" s="6" t="s">
        <v>1442</v>
      </c>
      <c r="E726" s="15" t="s">
        <v>10</v>
      </c>
      <c r="F726" s="24" t="s">
        <v>19</v>
      </c>
      <c r="G726" s="8" t="s">
        <v>27</v>
      </c>
      <c r="H726" s="5" t="str">
        <f>IFERROR(__xludf.DUMMYFUNCTION("REGEXEXTRACT(B726, ""\((\d+)\)"")"),"3")</f>
        <v>3</v>
      </c>
      <c r="I726" s="24"/>
      <c r="J726" s="24"/>
      <c r="K726" s="24"/>
      <c r="L726" s="24"/>
    </row>
    <row r="727" ht="35.25" customHeight="1">
      <c r="A727" s="5">
        <v>726.0</v>
      </c>
      <c r="B727" s="12" t="s">
        <v>1443</v>
      </c>
      <c r="C727" s="6" t="str">
        <f>IFERROR(__xludf.DUMMYFUNCTION("REGEXEXTRACT(B727, ""^[A-Z0-9-]+"")"),"IK-560")</f>
        <v>IK-560</v>
      </c>
      <c r="D727" s="40" t="s">
        <v>1444</v>
      </c>
      <c r="E727" s="15" t="s">
        <v>10</v>
      </c>
      <c r="F727" s="24" t="s">
        <v>19</v>
      </c>
      <c r="G727" s="8" t="s">
        <v>30</v>
      </c>
      <c r="H727" s="5" t="str">
        <f>IFERROR(__xludf.DUMMYFUNCTION("REGEXEXTRACT(B727, ""\((\d+)\)"")"),"3")</f>
        <v>3</v>
      </c>
      <c r="I727" s="24"/>
      <c r="J727" s="24"/>
      <c r="K727" s="24"/>
      <c r="L727" s="24"/>
    </row>
    <row r="728" ht="35.25" customHeight="1">
      <c r="A728" s="5">
        <v>727.0</v>
      </c>
      <c r="B728" s="12" t="s">
        <v>1445</v>
      </c>
      <c r="C728" s="6" t="str">
        <f>IFERROR(__xludf.DUMMYFUNCTION("REGEXEXTRACT(B728, ""^[A-Z0-9-]+"")"),"IK-562")</f>
        <v>IK-562</v>
      </c>
      <c r="D728" s="6" t="s">
        <v>1446</v>
      </c>
      <c r="E728" s="15" t="s">
        <v>10</v>
      </c>
      <c r="F728" s="24" t="s">
        <v>19</v>
      </c>
      <c r="G728" s="8" t="s">
        <v>33</v>
      </c>
      <c r="H728" s="5" t="str">
        <f>IFERROR(__xludf.DUMMYFUNCTION("REGEXEXTRACT(B728, ""\((\d+)\)"")"),"3")</f>
        <v>3</v>
      </c>
      <c r="I728" s="24"/>
      <c r="J728" s="24"/>
      <c r="K728" s="24"/>
      <c r="L728" s="24"/>
    </row>
    <row r="729" ht="35.25" customHeight="1">
      <c r="A729" s="5">
        <v>728.0</v>
      </c>
      <c r="B729" s="12" t="s">
        <v>1447</v>
      </c>
      <c r="C729" s="6" t="str">
        <f>IFERROR(__xludf.DUMMYFUNCTION("REGEXEXTRACT(B729, ""^[A-Z0-9-]+"")"),"IK-566")</f>
        <v>IK-566</v>
      </c>
      <c r="D729" s="6" t="s">
        <v>1448</v>
      </c>
      <c r="E729" s="15" t="s">
        <v>10</v>
      </c>
      <c r="F729" s="24" t="s">
        <v>19</v>
      </c>
      <c r="G729" s="8" t="s">
        <v>36</v>
      </c>
      <c r="H729" s="5" t="str">
        <f>IFERROR(__xludf.DUMMYFUNCTION("REGEXEXTRACT(B729, ""\((\d+)\)"")"),"3")</f>
        <v>3</v>
      </c>
      <c r="I729" s="24"/>
      <c r="J729" s="24"/>
      <c r="K729" s="24"/>
      <c r="L729" s="24"/>
    </row>
    <row r="730" ht="35.25" customHeight="1">
      <c r="A730" s="5">
        <v>729.0</v>
      </c>
      <c r="B730" s="12" t="s">
        <v>1449</v>
      </c>
      <c r="C730" s="6" t="str">
        <f>IFERROR(__xludf.DUMMYFUNCTION("REGEXEXTRACT(B730, ""^[A-Z0-9-]+"")"),"IK-567")</f>
        <v>IK-567</v>
      </c>
      <c r="D730" s="6" t="s">
        <v>1450</v>
      </c>
      <c r="E730" s="15" t="s">
        <v>10</v>
      </c>
      <c r="F730" s="24" t="s">
        <v>19</v>
      </c>
      <c r="G730" s="8" t="s">
        <v>39</v>
      </c>
      <c r="H730" s="5" t="str">
        <f>IFERROR(__xludf.DUMMYFUNCTION("REGEXEXTRACT(B730, ""\((\d+)\)"")"),"3")</f>
        <v>3</v>
      </c>
      <c r="I730" s="24"/>
      <c r="J730" s="24"/>
      <c r="K730" s="24"/>
      <c r="L730" s="24"/>
    </row>
    <row r="731" ht="35.25" customHeight="1">
      <c r="A731" s="5">
        <v>730.0</v>
      </c>
      <c r="B731" s="12" t="s">
        <v>1451</v>
      </c>
      <c r="C731" s="6" t="str">
        <f>IFERROR(__xludf.DUMMYFUNCTION("REGEXEXTRACT(B731, ""^[A-Z0-9-]+"")"),"IK-568")</f>
        <v>IK-568</v>
      </c>
      <c r="D731" s="6" t="s">
        <v>1452</v>
      </c>
      <c r="E731" s="15" t="s">
        <v>10</v>
      </c>
      <c r="F731" s="24" t="s">
        <v>19</v>
      </c>
      <c r="G731" s="8" t="s">
        <v>12</v>
      </c>
      <c r="H731" s="5" t="str">
        <f>IFERROR(__xludf.DUMMYFUNCTION("REGEXEXTRACT(B731, ""\((\d+)\)"")"),"3")</f>
        <v>3</v>
      </c>
      <c r="I731" s="24"/>
      <c r="J731" s="24"/>
      <c r="K731" s="24"/>
      <c r="L731" s="24"/>
    </row>
    <row r="732" ht="35.25" customHeight="1">
      <c r="A732" s="5">
        <v>731.0</v>
      </c>
      <c r="B732" s="12" t="s">
        <v>1453</v>
      </c>
      <c r="C732" s="6" t="str">
        <f>IFERROR(__xludf.DUMMYFUNCTION("REGEXEXTRACT(B732, ""^[A-Z0-9-]+"")"),"IK-569")</f>
        <v>IK-569</v>
      </c>
      <c r="D732" s="6" t="s">
        <v>1454</v>
      </c>
      <c r="E732" s="15" t="s">
        <v>10</v>
      </c>
      <c r="F732" s="24" t="s">
        <v>19</v>
      </c>
      <c r="G732" s="8" t="s">
        <v>16</v>
      </c>
      <c r="H732" s="5" t="str">
        <f>IFERROR(__xludf.DUMMYFUNCTION("REGEXEXTRACT(B732, ""\((\d+)\)"")"),"3")</f>
        <v>3</v>
      </c>
      <c r="I732" s="24"/>
      <c r="J732" s="24"/>
      <c r="K732" s="24"/>
      <c r="L732" s="24"/>
    </row>
    <row r="733" ht="35.25" customHeight="1">
      <c r="A733" s="5">
        <v>732.0</v>
      </c>
      <c r="B733" s="12" t="s">
        <v>1455</v>
      </c>
      <c r="C733" s="6" t="str">
        <f>IFERROR(__xludf.DUMMYFUNCTION("REGEXEXTRACT(B733, ""^[A-Z0-9-]+"")"),"IK-570")</f>
        <v>IK-570</v>
      </c>
      <c r="D733" s="6" t="s">
        <v>1456</v>
      </c>
      <c r="E733" s="15" t="s">
        <v>10</v>
      </c>
      <c r="F733" s="24" t="s">
        <v>19</v>
      </c>
      <c r="G733" s="8" t="s">
        <v>20</v>
      </c>
      <c r="H733" s="5" t="str">
        <f>IFERROR(__xludf.DUMMYFUNCTION("REGEXEXTRACT(B733, ""\((\d+)\)"")"),"3")</f>
        <v>3</v>
      </c>
      <c r="I733" s="24"/>
      <c r="J733" s="24"/>
      <c r="K733" s="24"/>
      <c r="L733" s="24"/>
    </row>
    <row r="734" ht="35.25" customHeight="1">
      <c r="A734" s="5">
        <v>733.0</v>
      </c>
      <c r="B734" s="12" t="s">
        <v>1457</v>
      </c>
      <c r="C734" s="6" t="str">
        <f>IFERROR(__xludf.DUMMYFUNCTION("REGEXEXTRACT(B734, ""^[A-Z0-9-]+"")"),"IK-572")</f>
        <v>IK-572</v>
      </c>
      <c r="D734" s="6" t="s">
        <v>1458</v>
      </c>
      <c r="E734" s="15" t="s">
        <v>10</v>
      </c>
      <c r="F734" s="24" t="s">
        <v>19</v>
      </c>
      <c r="G734" s="8" t="s">
        <v>24</v>
      </c>
      <c r="H734" s="5" t="str">
        <f>IFERROR(__xludf.DUMMYFUNCTION("REGEXEXTRACT(B734, ""\((\d+)\)"")"),"3")</f>
        <v>3</v>
      </c>
      <c r="I734" s="24"/>
      <c r="J734" s="24"/>
      <c r="K734" s="24"/>
      <c r="L734" s="24"/>
    </row>
    <row r="735" ht="35.25" customHeight="1">
      <c r="A735" s="5">
        <v>734.0</v>
      </c>
      <c r="B735" s="12" t="s">
        <v>1459</v>
      </c>
      <c r="C735" s="6" t="str">
        <f>IFERROR(__xludf.DUMMYFUNCTION("REGEXEXTRACT(B735, ""^[A-Z0-9-]+"")"),"IK-573")</f>
        <v>IK-573</v>
      </c>
      <c r="D735" s="6" t="s">
        <v>1460</v>
      </c>
      <c r="E735" s="15" t="s">
        <v>10</v>
      </c>
      <c r="F735" s="24" t="s">
        <v>19</v>
      </c>
      <c r="G735" s="8" t="s">
        <v>27</v>
      </c>
      <c r="H735" s="5" t="str">
        <f>IFERROR(__xludf.DUMMYFUNCTION("REGEXEXTRACT(B735, ""\((\d+)\)"")"),"3")</f>
        <v>3</v>
      </c>
      <c r="I735" s="24"/>
      <c r="J735" s="24"/>
      <c r="K735" s="24"/>
      <c r="L735" s="24"/>
    </row>
    <row r="736" ht="35.25" customHeight="1">
      <c r="A736" s="5">
        <v>735.0</v>
      </c>
      <c r="B736" s="12" t="s">
        <v>1461</v>
      </c>
      <c r="C736" s="6" t="str">
        <f>IFERROR(__xludf.DUMMYFUNCTION("REGEXEXTRACT(B736, ""^[A-Z0-9-]+"")"),"IK-592")</f>
        <v>IK-592</v>
      </c>
      <c r="D736" s="6" t="s">
        <v>1462</v>
      </c>
      <c r="E736" s="15" t="s">
        <v>10</v>
      </c>
      <c r="F736" s="24" t="s">
        <v>723</v>
      </c>
      <c r="G736" s="8" t="s">
        <v>30</v>
      </c>
      <c r="H736" s="5" t="str">
        <f>IFERROR(__xludf.DUMMYFUNCTION("REGEXEXTRACT(B736, ""\((\d+)\)"")"),"2")</f>
        <v>2</v>
      </c>
      <c r="I736" s="24"/>
      <c r="J736" s="24"/>
      <c r="K736" s="24"/>
      <c r="L736" s="24"/>
    </row>
    <row r="737" ht="35.25" customHeight="1">
      <c r="A737" s="5">
        <v>736.0</v>
      </c>
      <c r="B737" s="12" t="s">
        <v>1463</v>
      </c>
      <c r="C737" s="6" t="str">
        <f>IFERROR(__xludf.DUMMYFUNCTION("REGEXEXTRACT(B737, ""^[A-Z0-9-]+"")"),"IK-609")</f>
        <v>IK-609</v>
      </c>
      <c r="D737" s="6" t="s">
        <v>1464</v>
      </c>
      <c r="E737" s="15" t="s">
        <v>10</v>
      </c>
      <c r="F737" s="24" t="s">
        <v>424</v>
      </c>
      <c r="G737" s="8" t="s">
        <v>33</v>
      </c>
      <c r="H737" s="5" t="str">
        <f>IFERROR(__xludf.DUMMYFUNCTION("REGEXEXTRACT(B737, ""\((\d+)\)"")"),"3")</f>
        <v>3</v>
      </c>
      <c r="I737" s="24"/>
      <c r="J737" s="24"/>
      <c r="K737" s="24"/>
      <c r="L737" s="24"/>
    </row>
    <row r="738" ht="35.25" customHeight="1">
      <c r="A738" s="5">
        <v>737.0</v>
      </c>
      <c r="B738" s="35" t="s">
        <v>1465</v>
      </c>
      <c r="C738" s="6" t="str">
        <f>IFERROR(__xludf.DUMMYFUNCTION("REGEXEXTRACT(B738, ""^[A-Z0-9-]+"")"),"MA-102")</f>
        <v>MA-102</v>
      </c>
      <c r="D738" s="18" t="s">
        <v>1466</v>
      </c>
      <c r="E738" s="19" t="s">
        <v>10</v>
      </c>
      <c r="F738" s="35" t="s">
        <v>237</v>
      </c>
      <c r="G738" s="8" t="s">
        <v>36</v>
      </c>
      <c r="H738" s="5" t="str">
        <f>IFERROR(__xludf.DUMMYFUNCTION("REGEXEXTRACT(B738, ""\((\d+)\)"")"),"3")</f>
        <v>3</v>
      </c>
      <c r="I738" s="37"/>
      <c r="J738" s="37"/>
      <c r="K738" s="37"/>
      <c r="L738" s="37"/>
    </row>
    <row r="739" ht="35.25" customHeight="1">
      <c r="A739" s="5">
        <v>738.0</v>
      </c>
      <c r="B739" s="22" t="s">
        <v>1467</v>
      </c>
      <c r="C739" s="6" t="str">
        <f>IFERROR(__xludf.DUMMYFUNCTION("REGEXEXTRACT(B739, ""^[A-Z0-9-]+"")"),"MA-210")</f>
        <v>MA-210</v>
      </c>
      <c r="D739" s="22" t="s">
        <v>1468</v>
      </c>
      <c r="E739" s="23" t="s">
        <v>10</v>
      </c>
      <c r="F739" s="22" t="s">
        <v>713</v>
      </c>
      <c r="G739" s="8" t="s">
        <v>39</v>
      </c>
      <c r="H739" s="5" t="str">
        <f>IFERROR(__xludf.DUMMYFUNCTION("REGEXEXTRACT(B739, ""\((\d+)\)"")"),"3")</f>
        <v>3</v>
      </c>
      <c r="I739" s="5"/>
      <c r="J739" s="5"/>
      <c r="K739" s="5"/>
      <c r="L739" s="5"/>
    </row>
    <row r="740" ht="35.25" customHeight="1">
      <c r="A740" s="5">
        <v>739.0</v>
      </c>
      <c r="B740" s="22" t="s">
        <v>1469</v>
      </c>
      <c r="C740" s="6" t="str">
        <f>IFERROR(__xludf.DUMMYFUNCTION("REGEXEXTRACT(B740, ""^[A-Z0-9-]+"")"),"MA-211")</f>
        <v>MA-211</v>
      </c>
      <c r="D740" s="22" t="s">
        <v>1470</v>
      </c>
      <c r="E740" s="23" t="s">
        <v>10</v>
      </c>
      <c r="F740" s="22" t="s">
        <v>11</v>
      </c>
      <c r="G740" s="8" t="s">
        <v>12</v>
      </c>
      <c r="H740" s="5" t="str">
        <f>IFERROR(__xludf.DUMMYFUNCTION("REGEXEXTRACT(B740, ""\((\d+)\)"")"),"4")</f>
        <v>4</v>
      </c>
      <c r="I740" s="5"/>
      <c r="J740" s="5"/>
      <c r="K740" s="5"/>
      <c r="L740" s="5"/>
    </row>
    <row r="741" ht="35.25" customHeight="1">
      <c r="A741" s="5">
        <v>740.0</v>
      </c>
      <c r="B741" s="14" t="s">
        <v>1471</v>
      </c>
      <c r="C741" s="6" t="str">
        <f>IFERROR(__xludf.DUMMYFUNCTION("REGEXEXTRACT(B741, ""^[A-Z0-9-]+"")"),"MA-460")</f>
        <v>MA-460</v>
      </c>
      <c r="D741" s="14" t="s">
        <v>1472</v>
      </c>
      <c r="E741" s="23" t="s">
        <v>10</v>
      </c>
      <c r="F741" s="14" t="s">
        <v>19</v>
      </c>
      <c r="G741" s="8" t="s">
        <v>16</v>
      </c>
      <c r="H741" s="5" t="str">
        <f>IFERROR(__xludf.DUMMYFUNCTION("REGEXEXTRACT(B741, ""\((\d+)\)"")"),"3")</f>
        <v>3</v>
      </c>
      <c r="I741" s="5"/>
      <c r="J741" s="5"/>
      <c r="K741" s="5"/>
      <c r="L741" s="5"/>
    </row>
    <row r="742" ht="35.25" customHeight="1">
      <c r="A742" s="5">
        <v>741.0</v>
      </c>
      <c r="B742" s="14" t="s">
        <v>1473</v>
      </c>
      <c r="C742" s="6" t="str">
        <f>IFERROR(__xludf.DUMMYFUNCTION("REGEXEXTRACT(B742, ""^[A-Z0-9-]+"")"),"MA-465")</f>
        <v>MA-465</v>
      </c>
      <c r="D742" s="14" t="s">
        <v>1470</v>
      </c>
      <c r="E742" s="23" t="s">
        <v>10</v>
      </c>
      <c r="F742" s="14" t="s">
        <v>19</v>
      </c>
      <c r="G742" s="8" t="s">
        <v>20</v>
      </c>
      <c r="H742" s="5" t="str">
        <f>IFERROR(__xludf.DUMMYFUNCTION("REGEXEXTRACT(B742, ""\((\d+)\)"")"),"3")</f>
        <v>3</v>
      </c>
      <c r="I742" s="5"/>
      <c r="J742" s="5"/>
      <c r="K742" s="5"/>
      <c r="L742" s="5"/>
    </row>
    <row r="743" ht="35.25" customHeight="1">
      <c r="A743" s="5">
        <v>742.0</v>
      </c>
      <c r="B743" s="14" t="s">
        <v>1474</v>
      </c>
      <c r="C743" s="6" t="str">
        <f>IFERROR(__xludf.DUMMYFUNCTION("REGEXEXTRACT(B743, ""^[A-Z0-9-]+"")"),"MA-510")</f>
        <v>MA-510</v>
      </c>
      <c r="D743" s="14" t="s">
        <v>1475</v>
      </c>
      <c r="E743" s="23" t="s">
        <v>10</v>
      </c>
      <c r="F743" s="14" t="s">
        <v>19</v>
      </c>
      <c r="G743" s="8" t="s">
        <v>24</v>
      </c>
      <c r="H743" s="5" t="str">
        <f>IFERROR(__xludf.DUMMYFUNCTION("REGEXEXTRACT(B743, ""\((\d+)\)"")"),"3")</f>
        <v>3</v>
      </c>
      <c r="I743" s="5"/>
      <c r="J743" s="5"/>
      <c r="K743" s="5"/>
      <c r="L743" s="5"/>
    </row>
    <row r="744" ht="35.25" customHeight="1">
      <c r="A744" s="5">
        <v>743.0</v>
      </c>
      <c r="B744" s="14" t="s">
        <v>1476</v>
      </c>
      <c r="C744" s="6" t="str">
        <f>IFERROR(__xludf.DUMMYFUNCTION("REGEXEXTRACT(B744, ""^[A-Z0-9-]+"")"),"MA-511")</f>
        <v>MA-511</v>
      </c>
      <c r="D744" s="14" t="s">
        <v>1477</v>
      </c>
      <c r="E744" s="23" t="s">
        <v>10</v>
      </c>
      <c r="F744" s="14" t="s">
        <v>11</v>
      </c>
      <c r="G744" s="8" t="s">
        <v>27</v>
      </c>
      <c r="H744" s="5" t="str">
        <f>IFERROR(__xludf.DUMMYFUNCTION("REGEXEXTRACT(B744, ""\((\d+)\)"")"),"4")</f>
        <v>4</v>
      </c>
      <c r="I744" s="5"/>
      <c r="J744" s="5"/>
      <c r="K744" s="5"/>
      <c r="L744" s="5"/>
    </row>
    <row r="745" ht="35.25" customHeight="1">
      <c r="A745" s="5">
        <v>744.0</v>
      </c>
      <c r="B745" s="14" t="s">
        <v>1476</v>
      </c>
      <c r="C745" s="6" t="str">
        <f>IFERROR(__xludf.DUMMYFUNCTION("REGEXEXTRACT(B745, ""^[A-Z0-9-]+"")"),"MA-511")</f>
        <v>MA-511</v>
      </c>
      <c r="D745" s="14" t="s">
        <v>1478</v>
      </c>
      <c r="E745" s="23" t="s">
        <v>10</v>
      </c>
      <c r="F745" s="14" t="s">
        <v>11</v>
      </c>
      <c r="G745" s="8" t="s">
        <v>30</v>
      </c>
      <c r="H745" s="5" t="str">
        <f>IFERROR(__xludf.DUMMYFUNCTION("REGEXEXTRACT(B745, ""\((\d+)\)"")"),"4")</f>
        <v>4</v>
      </c>
      <c r="I745" s="5"/>
      <c r="J745" s="5"/>
      <c r="K745" s="5"/>
      <c r="L745" s="5"/>
    </row>
    <row r="746" ht="35.25" customHeight="1">
      <c r="A746" s="5">
        <v>745.0</v>
      </c>
      <c r="B746" s="14" t="s">
        <v>1479</v>
      </c>
      <c r="C746" s="6" t="str">
        <f>IFERROR(__xludf.DUMMYFUNCTION("REGEXEXTRACT(B746, ""^[A-Z0-9-]+"")"),"MA-512")</f>
        <v>MA-512</v>
      </c>
      <c r="D746" s="14" t="s">
        <v>1291</v>
      </c>
      <c r="E746" s="23" t="s">
        <v>10</v>
      </c>
      <c r="F746" s="14" t="s">
        <v>11</v>
      </c>
      <c r="G746" s="8" t="s">
        <v>33</v>
      </c>
      <c r="H746" s="5" t="str">
        <f>IFERROR(__xludf.DUMMYFUNCTION("REGEXEXTRACT(B746, ""\((\d+)\)"")"),"4")</f>
        <v>4</v>
      </c>
      <c r="I746" s="5"/>
      <c r="J746" s="5"/>
      <c r="K746" s="5"/>
      <c r="L746" s="5"/>
    </row>
    <row r="747" ht="35.25" customHeight="1">
      <c r="A747" s="5">
        <v>746.0</v>
      </c>
      <c r="B747" s="14" t="s">
        <v>1480</v>
      </c>
      <c r="C747" s="6" t="str">
        <f>IFERROR(__xludf.DUMMYFUNCTION("REGEXEXTRACT(B747, ""^[A-Z0-9-]+"")"),"MA-513")</f>
        <v>MA-513</v>
      </c>
      <c r="D747" s="14" t="s">
        <v>1470</v>
      </c>
      <c r="E747" s="23" t="s">
        <v>10</v>
      </c>
      <c r="F747" s="14" t="s">
        <v>11</v>
      </c>
      <c r="G747" s="8" t="s">
        <v>36</v>
      </c>
      <c r="H747" s="5" t="str">
        <f>IFERROR(__xludf.DUMMYFUNCTION("REGEXEXTRACT(B747, ""\((\d+)\)"")"),"4")</f>
        <v>4</v>
      </c>
      <c r="I747" s="5"/>
      <c r="J747" s="5"/>
      <c r="K747" s="5"/>
      <c r="L747" s="5"/>
    </row>
    <row r="748" ht="35.25" customHeight="1">
      <c r="A748" s="5">
        <v>747.0</v>
      </c>
      <c r="B748" s="14" t="s">
        <v>1481</v>
      </c>
      <c r="C748" s="6" t="str">
        <f>IFERROR(__xludf.DUMMYFUNCTION("REGEXEXTRACT(B748, ""^[A-Z0-9-]+"")"),"MA-514")</f>
        <v>MA-514</v>
      </c>
      <c r="D748" s="14" t="s">
        <v>1482</v>
      </c>
      <c r="E748" s="23" t="s">
        <v>10</v>
      </c>
      <c r="F748" s="14" t="s">
        <v>19</v>
      </c>
      <c r="G748" s="8" t="s">
        <v>39</v>
      </c>
      <c r="H748" s="5" t="str">
        <f>IFERROR(__xludf.DUMMYFUNCTION("REGEXEXTRACT(B748, ""\((\d+)\)"")"),"3")</f>
        <v>3</v>
      </c>
      <c r="I748" s="5"/>
      <c r="J748" s="5"/>
      <c r="K748" s="5"/>
      <c r="L748" s="5"/>
    </row>
    <row r="749" ht="35.25" customHeight="1">
      <c r="A749" s="5">
        <v>748.0</v>
      </c>
      <c r="B749" s="14" t="s">
        <v>1483</v>
      </c>
      <c r="C749" s="6" t="str">
        <f>IFERROR(__xludf.DUMMYFUNCTION("REGEXEXTRACT(B749, ""^[A-Z0-9-]+"")"),"MA-514P")</f>
        <v>MA-514P</v>
      </c>
      <c r="D749" s="14" t="s">
        <v>1484</v>
      </c>
      <c r="E749" s="23" t="s">
        <v>10</v>
      </c>
      <c r="F749" s="14" t="s">
        <v>385</v>
      </c>
      <c r="G749" s="8" t="s">
        <v>12</v>
      </c>
      <c r="H749" s="5" t="str">
        <f>IFERROR(__xludf.DUMMYFUNCTION("REGEXEXTRACT(B749, ""\((\d+)\)"")"),"2")</f>
        <v>2</v>
      </c>
      <c r="I749" s="5"/>
      <c r="J749" s="5"/>
      <c r="K749" s="5"/>
      <c r="L749" s="5"/>
    </row>
    <row r="750" ht="35.25" customHeight="1">
      <c r="A750" s="5">
        <v>749.0</v>
      </c>
      <c r="B750" s="14" t="s">
        <v>1485</v>
      </c>
      <c r="C750" s="6" t="str">
        <f>IFERROR(__xludf.DUMMYFUNCTION("REGEXEXTRACT(B750, ""^[A-Z0-9-]+"")"),"MA-515")</f>
        <v>MA-515</v>
      </c>
      <c r="D750" s="14" t="s">
        <v>1486</v>
      </c>
      <c r="E750" s="23" t="s">
        <v>10</v>
      </c>
      <c r="F750" s="14" t="s">
        <v>11</v>
      </c>
      <c r="G750" s="8" t="s">
        <v>16</v>
      </c>
      <c r="H750" s="5" t="str">
        <f>IFERROR(__xludf.DUMMYFUNCTION("REGEXEXTRACT(B750, ""\((\d+)\)"")"),"4")</f>
        <v>4</v>
      </c>
      <c r="I750" s="5"/>
      <c r="J750" s="5"/>
      <c r="K750" s="5"/>
      <c r="L750" s="5"/>
    </row>
    <row r="751" ht="35.25" customHeight="1">
      <c r="A751" s="5">
        <v>750.0</v>
      </c>
      <c r="B751" s="14" t="s">
        <v>1487</v>
      </c>
      <c r="C751" s="6" t="str">
        <f>IFERROR(__xludf.DUMMYFUNCTION("REGEXEXTRACT(B751, ""^[A-Z0-9-]+"")"),"MA")</f>
        <v>MA</v>
      </c>
      <c r="D751" s="41" t="s">
        <v>1488</v>
      </c>
      <c r="E751" s="23" t="s">
        <v>10</v>
      </c>
      <c r="F751" s="14" t="s">
        <v>11</v>
      </c>
      <c r="G751" s="8" t="s">
        <v>20</v>
      </c>
      <c r="H751" s="5" t="str">
        <f>IFERROR(__xludf.DUMMYFUNCTION("REGEXEXTRACT(B751, ""\((\d+)\)"")"),"4")</f>
        <v>4</v>
      </c>
      <c r="I751" s="5"/>
      <c r="J751" s="5"/>
      <c r="K751" s="5"/>
      <c r="L751" s="5"/>
    </row>
    <row r="752" ht="35.25" customHeight="1">
      <c r="A752" s="5">
        <v>751.0</v>
      </c>
      <c r="B752" s="14" t="s">
        <v>1489</v>
      </c>
      <c r="C752" s="6" t="str">
        <f>IFERROR(__xludf.DUMMYFUNCTION("REGEXEXTRACT(B752, ""^[A-Z0-9-]+"")"),"MA-521")</f>
        <v>MA-521</v>
      </c>
      <c r="D752" s="14" t="s">
        <v>1490</v>
      </c>
      <c r="E752" s="23" t="s">
        <v>10</v>
      </c>
      <c r="F752" s="14" t="s">
        <v>11</v>
      </c>
      <c r="G752" s="8" t="s">
        <v>24</v>
      </c>
      <c r="H752" s="5" t="str">
        <f>IFERROR(__xludf.DUMMYFUNCTION("REGEXEXTRACT(B752, ""\((\d+)\)"")"),"4")</f>
        <v>4</v>
      </c>
      <c r="I752" s="5"/>
      <c r="J752" s="5"/>
      <c r="K752" s="5"/>
      <c r="L752" s="5"/>
    </row>
    <row r="753" ht="35.25" customHeight="1">
      <c r="A753" s="5">
        <v>752.0</v>
      </c>
      <c r="B753" s="14" t="s">
        <v>1491</v>
      </c>
      <c r="C753" s="6" t="str">
        <f>IFERROR(__xludf.DUMMYFUNCTION("REGEXEXTRACT(B753, ""^[A-Z0-9-]+"")"),"MA-522")</f>
        <v>MA-522</v>
      </c>
      <c r="D753" s="14" t="s">
        <v>1492</v>
      </c>
      <c r="E753" s="23" t="s">
        <v>10</v>
      </c>
      <c r="F753" s="14" t="s">
        <v>11</v>
      </c>
      <c r="G753" s="8" t="s">
        <v>27</v>
      </c>
      <c r="H753" s="5" t="str">
        <f>IFERROR(__xludf.DUMMYFUNCTION("REGEXEXTRACT(B753, ""\((\d+)\)"")"),"4")</f>
        <v>4</v>
      </c>
      <c r="I753" s="5"/>
      <c r="J753" s="5"/>
      <c r="K753" s="5"/>
      <c r="L753" s="5"/>
    </row>
    <row r="754" ht="35.25" customHeight="1">
      <c r="A754" s="5">
        <v>753.0</v>
      </c>
      <c r="B754" s="14" t="s">
        <v>1493</v>
      </c>
      <c r="C754" s="6" t="str">
        <f>IFERROR(__xludf.DUMMYFUNCTION("REGEXEXTRACT(B754, ""^[A-Z0-9-]+"")"),"MA-523")</f>
        <v>MA-523</v>
      </c>
      <c r="D754" s="14" t="s">
        <v>1494</v>
      </c>
      <c r="E754" s="23" t="s">
        <v>10</v>
      </c>
      <c r="F754" s="14" t="s">
        <v>11</v>
      </c>
      <c r="G754" s="8" t="s">
        <v>30</v>
      </c>
      <c r="H754" s="5" t="str">
        <f>IFERROR(__xludf.DUMMYFUNCTION("REGEXEXTRACT(B754, ""\((\d+)\)"")"),"4")</f>
        <v>4</v>
      </c>
      <c r="I754" s="5"/>
      <c r="J754" s="5"/>
      <c r="K754" s="5"/>
      <c r="L754" s="5"/>
    </row>
    <row r="755" ht="35.25" customHeight="1">
      <c r="A755" s="5">
        <v>754.0</v>
      </c>
      <c r="B755" s="14" t="s">
        <v>1495</v>
      </c>
      <c r="C755" s="6" t="str">
        <f>IFERROR(__xludf.DUMMYFUNCTION("REGEXEXTRACT(B755, ""^[A-Z0-9-]+"")"),"MA-524")</f>
        <v>MA-524</v>
      </c>
      <c r="D755" s="14" t="s">
        <v>1359</v>
      </c>
      <c r="E755" s="23" t="s">
        <v>10</v>
      </c>
      <c r="F755" s="14" t="s">
        <v>11</v>
      </c>
      <c r="G755" s="8" t="s">
        <v>33</v>
      </c>
      <c r="H755" s="5" t="str">
        <f>IFERROR(__xludf.DUMMYFUNCTION("REGEXEXTRACT(B755, ""\((\d+)\)"")"),"4")</f>
        <v>4</v>
      </c>
      <c r="I755" s="5"/>
      <c r="J755" s="5"/>
      <c r="K755" s="5"/>
      <c r="L755" s="5"/>
    </row>
    <row r="756" ht="35.25" customHeight="1">
      <c r="A756" s="5">
        <v>755.0</v>
      </c>
      <c r="B756" s="14" t="s">
        <v>1496</v>
      </c>
      <c r="C756" s="6" t="str">
        <f>IFERROR(__xludf.DUMMYFUNCTION("REGEXEXTRACT(B756, ""^[A-Z0-9-]+"")"),"MA")</f>
        <v>MA</v>
      </c>
      <c r="D756" s="14" t="s">
        <v>1497</v>
      </c>
      <c r="E756" s="23" t="s">
        <v>10</v>
      </c>
      <c r="F756" s="14" t="s">
        <v>19</v>
      </c>
      <c r="G756" s="8" t="s">
        <v>36</v>
      </c>
      <c r="H756" s="5" t="str">
        <f>IFERROR(__xludf.DUMMYFUNCTION("REGEXEXTRACT(B756, ""\((\d+)\)"")"),"3")</f>
        <v>3</v>
      </c>
      <c r="I756" s="5"/>
      <c r="J756" s="5"/>
      <c r="K756" s="5"/>
      <c r="L756" s="5"/>
    </row>
    <row r="757" ht="35.25" customHeight="1">
      <c r="A757" s="5">
        <v>756.0</v>
      </c>
      <c r="B757" s="14" t="s">
        <v>1498</v>
      </c>
      <c r="C757" s="6" t="str">
        <f>IFERROR(__xludf.DUMMYFUNCTION("REGEXEXTRACT(B757, ""^[A-Z0-9-]+"")"),"MA-526")</f>
        <v>MA-526</v>
      </c>
      <c r="D757" s="14" t="s">
        <v>1499</v>
      </c>
      <c r="E757" s="23" t="s">
        <v>10</v>
      </c>
      <c r="F757" s="14" t="s">
        <v>19</v>
      </c>
      <c r="G757" s="8" t="s">
        <v>39</v>
      </c>
      <c r="H757" s="5" t="str">
        <f>IFERROR(__xludf.DUMMYFUNCTION("REGEXEXTRACT(B757, ""\((\d+)\)"")"),"3")</f>
        <v>3</v>
      </c>
      <c r="I757" s="5"/>
      <c r="J757" s="5"/>
      <c r="K757" s="5"/>
      <c r="L757" s="5"/>
    </row>
    <row r="758" ht="35.25" customHeight="1">
      <c r="A758" s="5">
        <v>757.0</v>
      </c>
      <c r="B758" s="14" t="s">
        <v>1500</v>
      </c>
      <c r="C758" s="6" t="str">
        <f>IFERROR(__xludf.DUMMYFUNCTION("REGEXEXTRACT(B758, ""^[A-Z0-9-]+"")"),"MA-527")</f>
        <v>MA-527</v>
      </c>
      <c r="D758" s="14" t="s">
        <v>1501</v>
      </c>
      <c r="E758" s="19" t="s">
        <v>10</v>
      </c>
      <c r="F758" s="14" t="s">
        <v>11</v>
      </c>
      <c r="G758" s="8" t="s">
        <v>12</v>
      </c>
      <c r="H758" s="5" t="str">
        <f>IFERROR(__xludf.DUMMYFUNCTION("REGEXEXTRACT(B758, ""\((\d+)\)"")"),"4")</f>
        <v>4</v>
      </c>
      <c r="I758" s="5"/>
      <c r="J758" s="5"/>
      <c r="K758" s="5"/>
      <c r="L758" s="5"/>
    </row>
    <row r="759" ht="35.25" customHeight="1">
      <c r="A759" s="5">
        <v>758.0</v>
      </c>
      <c r="B759" s="24" t="s">
        <v>1502</v>
      </c>
      <c r="C759" s="6" t="str">
        <f>IFERROR(__xludf.DUMMYFUNCTION("REGEXEXTRACT(B759, ""^[A-Z0-9-]+"")"),"MA-528")</f>
        <v>MA-528</v>
      </c>
      <c r="D759" s="6" t="s">
        <v>1503</v>
      </c>
      <c r="E759" s="23" t="s">
        <v>10</v>
      </c>
      <c r="F759" s="6" t="s">
        <v>11</v>
      </c>
      <c r="G759" s="8" t="s">
        <v>16</v>
      </c>
      <c r="H759" s="5" t="str">
        <f>IFERROR(__xludf.DUMMYFUNCTION("REGEXEXTRACT(B759, ""\((\d+)\)"")"),"4")</f>
        <v>4</v>
      </c>
      <c r="I759" s="5"/>
      <c r="J759" s="5"/>
      <c r="K759" s="5"/>
      <c r="L759" s="5"/>
    </row>
    <row r="760" ht="35.25" customHeight="1">
      <c r="A760" s="5">
        <v>759.0</v>
      </c>
      <c r="B760" s="24" t="s">
        <v>1504</v>
      </c>
      <c r="C760" s="6" t="str">
        <f>IFERROR(__xludf.DUMMYFUNCTION("REGEXEXTRACT(B760, ""^[A-Z0-9-]+"")"),"MA-529")</f>
        <v>MA-529</v>
      </c>
      <c r="D760" s="6" t="s">
        <v>1505</v>
      </c>
      <c r="E760" s="23" t="s">
        <v>10</v>
      </c>
      <c r="F760" s="6" t="s">
        <v>11</v>
      </c>
      <c r="G760" s="8" t="s">
        <v>20</v>
      </c>
      <c r="H760" s="5" t="str">
        <f>IFERROR(__xludf.DUMMYFUNCTION("REGEXEXTRACT(B760, ""\((\d+)\)"")"),"4")</f>
        <v>4</v>
      </c>
      <c r="I760" s="5"/>
      <c r="J760" s="5"/>
      <c r="K760" s="5"/>
      <c r="L760" s="5"/>
    </row>
    <row r="761" ht="35.25" customHeight="1">
      <c r="A761" s="5">
        <v>760.0</v>
      </c>
      <c r="B761" s="24" t="s">
        <v>1506</v>
      </c>
      <c r="C761" s="6" t="str">
        <f>IFERROR(__xludf.DUMMYFUNCTION("REGEXEXTRACT(B761, ""^[A-Z0-9-]+"")"),"MA-530")</f>
        <v>MA-530</v>
      </c>
      <c r="D761" s="6" t="s">
        <v>1507</v>
      </c>
      <c r="E761" s="23" t="s">
        <v>10</v>
      </c>
      <c r="F761" s="6" t="s">
        <v>11</v>
      </c>
      <c r="G761" s="8" t="s">
        <v>24</v>
      </c>
      <c r="H761" s="5" t="str">
        <f>IFERROR(__xludf.DUMMYFUNCTION("REGEXEXTRACT(B761, ""\((\d+)\)"")"),"4")</f>
        <v>4</v>
      </c>
      <c r="I761" s="5"/>
      <c r="J761" s="5"/>
      <c r="K761" s="5"/>
      <c r="L761" s="5"/>
    </row>
    <row r="762" ht="35.25" customHeight="1">
      <c r="A762" s="5">
        <v>761.0</v>
      </c>
      <c r="B762" s="14" t="s">
        <v>1508</v>
      </c>
      <c r="C762" s="6" t="str">
        <f>IFERROR(__xludf.DUMMYFUNCTION("REGEXEXTRACT(B762, ""^[A-Z0-9-]+"")"),"MA-549")</f>
        <v>MA-549</v>
      </c>
      <c r="D762" s="14" t="s">
        <v>1509</v>
      </c>
      <c r="E762" s="23" t="s">
        <v>10</v>
      </c>
      <c r="F762" s="14" t="s">
        <v>19</v>
      </c>
      <c r="G762" s="8" t="s">
        <v>27</v>
      </c>
      <c r="H762" s="5" t="str">
        <f>IFERROR(__xludf.DUMMYFUNCTION("REGEXEXTRACT(B762, ""\((\d+)\)"")"),"3")</f>
        <v>3</v>
      </c>
      <c r="I762" s="5"/>
      <c r="J762" s="5"/>
      <c r="K762" s="5"/>
      <c r="L762" s="5"/>
    </row>
    <row r="763" ht="35.25" customHeight="1">
      <c r="A763" s="5">
        <v>762.0</v>
      </c>
      <c r="B763" s="14" t="s">
        <v>1510</v>
      </c>
      <c r="C763" s="6" t="str">
        <f>IFERROR(__xludf.DUMMYFUNCTION("REGEXEXTRACT(B763, ""^[A-Z0-9-]+"")"),"MA-550")</f>
        <v>MA-550</v>
      </c>
      <c r="D763" s="14" t="s">
        <v>1511</v>
      </c>
      <c r="E763" s="23" t="s">
        <v>10</v>
      </c>
      <c r="F763" s="14" t="s">
        <v>237</v>
      </c>
      <c r="G763" s="8" t="s">
        <v>30</v>
      </c>
      <c r="H763" s="5" t="str">
        <f>IFERROR(__xludf.DUMMYFUNCTION("REGEXEXTRACT(B763, ""\((\d+)\)"")"),"3")</f>
        <v>3</v>
      </c>
      <c r="I763" s="5"/>
      <c r="J763" s="5"/>
      <c r="K763" s="5"/>
      <c r="L763" s="5"/>
    </row>
    <row r="764" ht="35.25" customHeight="1">
      <c r="A764" s="5">
        <v>763.0</v>
      </c>
      <c r="B764" s="14" t="s">
        <v>1512</v>
      </c>
      <c r="C764" s="6" t="str">
        <f>IFERROR(__xludf.DUMMYFUNCTION("REGEXEXTRACT(B764, ""^[A-Z0-9-]+"")"),"MA-551")</f>
        <v>MA-551</v>
      </c>
      <c r="D764" s="14" t="s">
        <v>1513</v>
      </c>
      <c r="E764" s="23" t="s">
        <v>10</v>
      </c>
      <c r="F764" s="14" t="s">
        <v>19</v>
      </c>
      <c r="G764" s="8" t="s">
        <v>33</v>
      </c>
      <c r="H764" s="5" t="str">
        <f>IFERROR(__xludf.DUMMYFUNCTION("REGEXEXTRACT(B764, ""\((\d+)\)"")"),"3")</f>
        <v>3</v>
      </c>
      <c r="I764" s="5"/>
      <c r="J764" s="5"/>
      <c r="K764" s="5"/>
      <c r="L764" s="5"/>
    </row>
    <row r="765" ht="35.25" customHeight="1">
      <c r="A765" s="5">
        <v>764.0</v>
      </c>
      <c r="B765" s="14" t="s">
        <v>1512</v>
      </c>
      <c r="C765" s="6" t="str">
        <f>IFERROR(__xludf.DUMMYFUNCTION("REGEXEXTRACT(B765, ""^[A-Z0-9-]+"")"),"MA-551")</f>
        <v>MA-551</v>
      </c>
      <c r="D765" s="14" t="s">
        <v>1494</v>
      </c>
      <c r="E765" s="23" t="s">
        <v>10</v>
      </c>
      <c r="F765" s="14" t="s">
        <v>19</v>
      </c>
      <c r="G765" s="8" t="s">
        <v>36</v>
      </c>
      <c r="H765" s="5" t="str">
        <f>IFERROR(__xludf.DUMMYFUNCTION("REGEXEXTRACT(B765, ""\((\d+)\)"")"),"3")</f>
        <v>3</v>
      </c>
      <c r="I765" s="5"/>
      <c r="J765" s="5"/>
      <c r="K765" s="5"/>
      <c r="L765" s="5"/>
    </row>
    <row r="766" ht="35.25" customHeight="1">
      <c r="A766" s="5">
        <v>765.0</v>
      </c>
      <c r="B766" s="14" t="s">
        <v>1514</v>
      </c>
      <c r="C766" s="6" t="str">
        <f>IFERROR(__xludf.DUMMYFUNCTION("REGEXEXTRACT(B766, ""^[A-Z0-9-]+"")"),"MA-552")</f>
        <v>MA-552</v>
      </c>
      <c r="D766" s="14" t="s">
        <v>1515</v>
      </c>
      <c r="E766" s="23" t="s">
        <v>10</v>
      </c>
      <c r="F766" s="14" t="s">
        <v>19</v>
      </c>
      <c r="G766" s="8" t="s">
        <v>39</v>
      </c>
      <c r="H766" s="5" t="str">
        <f>IFERROR(__xludf.DUMMYFUNCTION("REGEXEXTRACT(B766, ""\((\d+)\)"")"),"3")</f>
        <v>3</v>
      </c>
      <c r="I766" s="5"/>
      <c r="J766" s="5"/>
      <c r="K766" s="5"/>
      <c r="L766" s="5"/>
    </row>
    <row r="767" ht="35.25" customHeight="1">
      <c r="A767" s="5">
        <v>766.0</v>
      </c>
      <c r="B767" s="14" t="s">
        <v>1516</v>
      </c>
      <c r="C767" s="6" t="str">
        <f>IFERROR(__xludf.DUMMYFUNCTION("REGEXEXTRACT(B767, ""^[A-Z0-9-]+"")"),"MA-553")</f>
        <v>MA-553</v>
      </c>
      <c r="D767" s="14" t="s">
        <v>1517</v>
      </c>
      <c r="E767" s="23" t="s">
        <v>10</v>
      </c>
      <c r="F767" s="14" t="s">
        <v>237</v>
      </c>
      <c r="G767" s="8" t="s">
        <v>12</v>
      </c>
      <c r="H767" s="5" t="str">
        <f>IFERROR(__xludf.DUMMYFUNCTION("REGEXEXTRACT(B767, ""\((\d+)\)"")"),"3")</f>
        <v>3</v>
      </c>
      <c r="I767" s="5"/>
      <c r="J767" s="5"/>
      <c r="K767" s="5"/>
      <c r="L767" s="5"/>
    </row>
    <row r="768" ht="35.25" customHeight="1">
      <c r="A768" s="5">
        <v>767.0</v>
      </c>
      <c r="B768" s="14" t="s">
        <v>1518</v>
      </c>
      <c r="C768" s="6" t="str">
        <f>IFERROR(__xludf.DUMMYFUNCTION("REGEXEXTRACT(B768, ""^[A-Z0-9-]+"")"),"MA-555")</f>
        <v>MA-555</v>
      </c>
      <c r="D768" s="14" t="s">
        <v>1519</v>
      </c>
      <c r="E768" s="15" t="s">
        <v>10</v>
      </c>
      <c r="F768" s="14" t="s">
        <v>19</v>
      </c>
      <c r="G768" s="8" t="s">
        <v>16</v>
      </c>
      <c r="H768" s="5" t="str">
        <f>IFERROR(__xludf.DUMMYFUNCTION("REGEXEXTRACT(B768, ""\((\d+)\)"")"),"3")</f>
        <v>3</v>
      </c>
      <c r="I768" s="5"/>
      <c r="J768" s="5"/>
      <c r="K768" s="5"/>
      <c r="L768" s="5"/>
    </row>
    <row r="769" ht="35.25" customHeight="1">
      <c r="A769" s="5">
        <v>768.0</v>
      </c>
      <c r="B769" s="14" t="s">
        <v>1520</v>
      </c>
      <c r="C769" s="6" t="str">
        <f>IFERROR(__xludf.DUMMYFUNCTION("REGEXEXTRACT(B769, ""^[A-Z0-9-]+"")"),"MA")</f>
        <v>MA</v>
      </c>
      <c r="D769" s="14" t="s">
        <v>1472</v>
      </c>
      <c r="E769" s="15" t="s">
        <v>10</v>
      </c>
      <c r="F769" s="14" t="s">
        <v>19</v>
      </c>
      <c r="G769" s="8" t="s">
        <v>20</v>
      </c>
      <c r="H769" s="5" t="str">
        <f>IFERROR(__xludf.DUMMYFUNCTION("REGEXEXTRACT(B769, ""\((\d+)\)"")"),"3")</f>
        <v>3</v>
      </c>
      <c r="I769" s="5"/>
      <c r="J769" s="5"/>
      <c r="K769" s="5"/>
      <c r="L769" s="5"/>
    </row>
    <row r="770" ht="35.25" customHeight="1">
      <c r="A770" s="5">
        <v>769.0</v>
      </c>
      <c r="B770" s="14" t="s">
        <v>1521</v>
      </c>
      <c r="C770" s="6" t="str">
        <f>IFERROR(__xludf.DUMMYFUNCTION("REGEXEXTRACT(B770, ""^[A-Z0-9-]+"")"),"MA-565")</f>
        <v>MA-565</v>
      </c>
      <c r="D770" s="14" t="s">
        <v>1522</v>
      </c>
      <c r="E770" s="15" t="s">
        <v>10</v>
      </c>
      <c r="F770" s="14" t="s">
        <v>19</v>
      </c>
      <c r="G770" s="8" t="s">
        <v>24</v>
      </c>
      <c r="H770" s="5" t="str">
        <f>IFERROR(__xludf.DUMMYFUNCTION("REGEXEXTRACT(B770, ""\((\d+)\)"")"),"3")</f>
        <v>3</v>
      </c>
      <c r="I770" s="5"/>
      <c r="J770" s="5"/>
      <c r="K770" s="5"/>
      <c r="L770" s="5"/>
    </row>
    <row r="771" ht="35.25" customHeight="1">
      <c r="A771" s="5">
        <v>770.0</v>
      </c>
      <c r="B771" s="14" t="s">
        <v>1523</v>
      </c>
      <c r="C771" s="6" t="str">
        <f>IFERROR(__xludf.DUMMYFUNCTION("REGEXEXTRACT(B771, ""^[A-Z0-9-]+"")"),"MA-568")</f>
        <v>MA-568</v>
      </c>
      <c r="D771" s="14" t="s">
        <v>1478</v>
      </c>
      <c r="E771" s="15" t="s">
        <v>10</v>
      </c>
      <c r="F771" s="14" t="s">
        <v>713</v>
      </c>
      <c r="G771" s="8" t="s">
        <v>27</v>
      </c>
      <c r="H771" s="5" t="str">
        <f>IFERROR(__xludf.DUMMYFUNCTION("REGEXEXTRACT(B771, ""\((\d+)\)"")"),"3")</f>
        <v>3</v>
      </c>
      <c r="I771" s="5"/>
      <c r="J771" s="5"/>
      <c r="K771" s="5"/>
      <c r="L771" s="5"/>
    </row>
    <row r="772" ht="35.25" customHeight="1">
      <c r="A772" s="5">
        <v>771.0</v>
      </c>
      <c r="B772" s="22" t="s">
        <v>1524</v>
      </c>
      <c r="C772" s="6" t="str">
        <f>IFERROR(__xludf.DUMMYFUNCTION("REGEXEXTRACT(B772, ""^[A-Z0-9-]+"")"),"MA-570")</f>
        <v>MA-570</v>
      </c>
      <c r="D772" s="22" t="s">
        <v>1525</v>
      </c>
      <c r="E772" s="15" t="s">
        <v>10</v>
      </c>
      <c r="F772" s="22" t="s">
        <v>1526</v>
      </c>
      <c r="G772" s="8" t="s">
        <v>30</v>
      </c>
      <c r="H772" s="5" t="str">
        <f>IFERROR(__xludf.DUMMYFUNCTION("REGEXEXTRACT(B772, ""\((\d+)\)"")"),"3")</f>
        <v>3</v>
      </c>
      <c r="I772" s="5"/>
      <c r="J772" s="5"/>
      <c r="K772" s="5"/>
      <c r="L772" s="5"/>
    </row>
    <row r="773" ht="35.25" customHeight="1">
      <c r="A773" s="5">
        <v>772.0</v>
      </c>
      <c r="B773" s="22" t="s">
        <v>1527</v>
      </c>
      <c r="C773" s="6" t="str">
        <f>IFERROR(__xludf.DUMMYFUNCTION("REGEXEXTRACT(B773, ""^[A-Z0-9-]+"")"),"MA-575")</f>
        <v>MA-575</v>
      </c>
      <c r="D773" s="22" t="s">
        <v>1528</v>
      </c>
      <c r="E773" s="23" t="s">
        <v>87</v>
      </c>
      <c r="F773" s="22" t="s">
        <v>11</v>
      </c>
      <c r="G773" s="8" t="s">
        <v>33</v>
      </c>
      <c r="H773" s="5" t="str">
        <f>IFERROR(__xludf.DUMMYFUNCTION("REGEXEXTRACT(B773, ""\((\d+)\)"")"),"4")</f>
        <v>4</v>
      </c>
      <c r="I773" s="5"/>
      <c r="J773" s="5"/>
      <c r="K773" s="5"/>
      <c r="L773" s="5"/>
    </row>
    <row r="774" ht="35.25" customHeight="1">
      <c r="A774" s="5">
        <v>773.0</v>
      </c>
      <c r="B774" s="14" t="s">
        <v>1529</v>
      </c>
      <c r="C774" s="6" t="str">
        <f>IFERROR(__xludf.DUMMYFUNCTION("REGEXEXTRACT(B774, ""^[A-Z0-9-]+"")"),"MA")</f>
        <v>MA</v>
      </c>
      <c r="D774" s="14" t="s">
        <v>497</v>
      </c>
      <c r="E774" s="23" t="s">
        <v>87</v>
      </c>
      <c r="F774" s="14" t="s">
        <v>916</v>
      </c>
      <c r="G774" s="8" t="s">
        <v>36</v>
      </c>
      <c r="H774" s="5" t="str">
        <f>IFERROR(__xludf.DUMMYFUNCTION("REGEXEXTRACT(B774, ""\((\d+)\)"")"),"10")</f>
        <v>10</v>
      </c>
      <c r="I774" s="5"/>
      <c r="J774" s="5"/>
      <c r="K774" s="5"/>
      <c r="L774" s="5"/>
    </row>
    <row r="775" ht="35.25" customHeight="1">
      <c r="A775" s="5">
        <v>774.0</v>
      </c>
      <c r="B775" s="14" t="s">
        <v>1530</v>
      </c>
      <c r="C775" s="6" t="str">
        <f>IFERROR(__xludf.DUMMYFUNCTION("REGEXEXTRACT(B775, ""^[A-Z0-9-]+"")"),"MA")</f>
        <v>MA</v>
      </c>
      <c r="D775" s="14" t="s">
        <v>1531</v>
      </c>
      <c r="E775" s="23" t="s">
        <v>87</v>
      </c>
      <c r="F775" s="14">
        <v>6.0</v>
      </c>
      <c r="G775" s="8" t="s">
        <v>39</v>
      </c>
      <c r="H775" s="5" t="str">
        <f>IFERROR(__xludf.DUMMYFUNCTION("REGEXEXTRACT(B775, ""\((\d+)\)"")"),"#N/A")</f>
        <v>#N/A</v>
      </c>
      <c r="I775" s="5"/>
      <c r="J775" s="5"/>
      <c r="K775" s="5"/>
      <c r="L775" s="5"/>
    </row>
    <row r="776" ht="35.25" customHeight="1">
      <c r="A776" s="5">
        <v>775.0</v>
      </c>
      <c r="B776" s="14" t="s">
        <v>1532</v>
      </c>
      <c r="C776" s="6" t="str">
        <f>IFERROR(__xludf.DUMMYFUNCTION("REGEXEXTRACT(B776, ""^[A-Z0-9-]+"")"),"MA")</f>
        <v>MA</v>
      </c>
      <c r="D776" s="14" t="s">
        <v>497</v>
      </c>
      <c r="E776" s="23" t="s">
        <v>87</v>
      </c>
      <c r="F776" s="14">
        <v>9.0</v>
      </c>
      <c r="G776" s="8" t="s">
        <v>12</v>
      </c>
      <c r="H776" s="5" t="str">
        <f>IFERROR(__xludf.DUMMYFUNCTION("REGEXEXTRACT(B776, ""\((\d+)\)"")"),"9")</f>
        <v>9</v>
      </c>
      <c r="I776" s="5"/>
      <c r="J776" s="5"/>
      <c r="K776" s="5"/>
      <c r="L776" s="5"/>
    </row>
    <row r="777" ht="35.25" customHeight="1">
      <c r="A777" s="5">
        <v>776.0</v>
      </c>
      <c r="B777" s="14" t="s">
        <v>1533</v>
      </c>
      <c r="C777" s="6" t="str">
        <f>IFERROR(__xludf.DUMMYFUNCTION("REGEXEXTRACT(B777, ""^[A-Z0-9-]+"")"),"MA")</f>
        <v>MA</v>
      </c>
      <c r="D777" s="14" t="s">
        <v>499</v>
      </c>
      <c r="E777" s="23" t="s">
        <v>87</v>
      </c>
      <c r="F777" s="14" t="s">
        <v>374</v>
      </c>
      <c r="G777" s="8" t="s">
        <v>16</v>
      </c>
      <c r="H777" s="5" t="str">
        <f>IFERROR(__xludf.DUMMYFUNCTION("REGEXEXTRACT(B777, ""\((\d+)\)"")"),"14")</f>
        <v>14</v>
      </c>
      <c r="I777" s="5"/>
      <c r="J777" s="5"/>
      <c r="K777" s="5"/>
      <c r="L777" s="5"/>
    </row>
    <row r="778" ht="35.25" customHeight="1">
      <c r="A778" s="5">
        <v>777.0</v>
      </c>
      <c r="B778" s="14" t="s">
        <v>1534</v>
      </c>
      <c r="C778" s="6" t="str">
        <f>IFERROR(__xludf.DUMMYFUNCTION("REGEXEXTRACT(B778, ""^[A-Z0-9-]+"")"),"MA")</f>
        <v>MA</v>
      </c>
      <c r="D778" s="14" t="s">
        <v>499</v>
      </c>
      <c r="E778" s="23" t="s">
        <v>87</v>
      </c>
      <c r="F778" s="14">
        <v>12.0</v>
      </c>
      <c r="G778" s="8" t="s">
        <v>20</v>
      </c>
      <c r="H778" s="5" t="str">
        <f>IFERROR(__xludf.DUMMYFUNCTION("REGEXEXTRACT(B778, ""\((\d+)\)"")"),"12")</f>
        <v>12</v>
      </c>
      <c r="I778" s="5"/>
      <c r="J778" s="5"/>
      <c r="K778" s="5"/>
      <c r="L778" s="5"/>
    </row>
    <row r="779" ht="35.25" customHeight="1">
      <c r="A779" s="5">
        <v>778.0</v>
      </c>
      <c r="B779" s="14" t="s">
        <v>1535</v>
      </c>
      <c r="C779" s="6" t="str">
        <f>IFERROR(__xludf.DUMMYFUNCTION("REGEXEXTRACT(B779, ""^[A-Z0-9-]+"")"),"MA")</f>
        <v>MA</v>
      </c>
      <c r="D779" s="14" t="s">
        <v>1536</v>
      </c>
      <c r="E779" s="23" t="s">
        <v>87</v>
      </c>
      <c r="F779" s="14">
        <v>8.0</v>
      </c>
      <c r="G779" s="8" t="s">
        <v>24</v>
      </c>
      <c r="H779" s="5" t="str">
        <f>IFERROR(__xludf.DUMMYFUNCTION("REGEXEXTRACT(B779, ""\((\d+)\)"")"),"#N/A")</f>
        <v>#N/A</v>
      </c>
      <c r="I779" s="5"/>
      <c r="J779" s="5"/>
      <c r="K779" s="5"/>
      <c r="L779" s="5"/>
    </row>
    <row r="780" ht="35.25" customHeight="1">
      <c r="A780" s="5">
        <v>779.0</v>
      </c>
      <c r="B780" s="14" t="s">
        <v>1537</v>
      </c>
      <c r="C780" s="6" t="str">
        <f>IFERROR(__xludf.DUMMYFUNCTION("REGEXEXTRACT(B780, ""^[A-Z0-9-]+"")"),"MA-588")</f>
        <v>MA-588</v>
      </c>
      <c r="D780" s="14" t="s">
        <v>1538</v>
      </c>
      <c r="E780" s="15" t="s">
        <v>10</v>
      </c>
      <c r="F780" s="14" t="s">
        <v>11</v>
      </c>
      <c r="G780" s="8" t="s">
        <v>27</v>
      </c>
      <c r="H780" s="5" t="str">
        <f>IFERROR(__xludf.DUMMYFUNCTION("REGEXEXTRACT(B780, ""\((\d+)\)"")"),"4")</f>
        <v>4</v>
      </c>
      <c r="I780" s="5"/>
      <c r="J780" s="5"/>
      <c r="K780" s="5"/>
      <c r="L780" s="5"/>
    </row>
    <row r="781" ht="35.25" customHeight="1">
      <c r="A781" s="5">
        <v>780.0</v>
      </c>
      <c r="B781" s="22" t="s">
        <v>1539</v>
      </c>
      <c r="C781" s="6" t="str">
        <f>IFERROR(__xludf.DUMMYFUNCTION("REGEXEXTRACT(B781, ""^[A-Z0-9-]+"")"),"MA-600")</f>
        <v>MA-600</v>
      </c>
      <c r="D781" s="22" t="s">
        <v>194</v>
      </c>
      <c r="E781" s="23" t="s">
        <v>87</v>
      </c>
      <c r="F781" s="22" t="s">
        <v>77</v>
      </c>
      <c r="G781" s="8" t="s">
        <v>30</v>
      </c>
      <c r="H781" s="5" t="str">
        <f>IFERROR(__xludf.DUMMYFUNCTION("REGEXEXTRACT(B781, ""\((\d+)\)"")"),"1")</f>
        <v>1</v>
      </c>
      <c r="I781" s="5"/>
      <c r="J781" s="5"/>
      <c r="K781" s="5"/>
      <c r="L781" s="5"/>
    </row>
    <row r="782" ht="35.25" customHeight="1">
      <c r="A782" s="5">
        <v>781.0</v>
      </c>
      <c r="B782" s="14" t="s">
        <v>1540</v>
      </c>
      <c r="C782" s="6" t="str">
        <f>IFERROR(__xludf.DUMMYFUNCTION("REGEXEXTRACT(B782, ""^[A-Z0-9-]+"")"),"MA-601")</f>
        <v>MA-601</v>
      </c>
      <c r="D782" s="14" t="s">
        <v>1541</v>
      </c>
      <c r="E782" s="15" t="s">
        <v>10</v>
      </c>
      <c r="F782" s="14" t="s">
        <v>237</v>
      </c>
      <c r="G782" s="8" t="s">
        <v>33</v>
      </c>
      <c r="H782" s="5" t="str">
        <f>IFERROR(__xludf.DUMMYFUNCTION("REGEXEXTRACT(B782, ""\((\d+)\)"")"),"3")</f>
        <v>3</v>
      </c>
      <c r="I782" s="5"/>
      <c r="J782" s="5"/>
      <c r="K782" s="5"/>
      <c r="L782" s="5"/>
    </row>
    <row r="783" ht="35.25" customHeight="1">
      <c r="A783" s="5">
        <v>782.0</v>
      </c>
      <c r="B783" s="14" t="s">
        <v>1542</v>
      </c>
      <c r="C783" s="6" t="str">
        <f>IFERROR(__xludf.DUMMYFUNCTION("REGEXEXTRACT(B783, ""^[A-Z0-9-]+"")"),"MA")</f>
        <v>MA</v>
      </c>
      <c r="D783" s="14" t="s">
        <v>1543</v>
      </c>
      <c r="E783" s="15" t="s">
        <v>10</v>
      </c>
      <c r="F783" s="14" t="s">
        <v>19</v>
      </c>
      <c r="G783" s="8" t="s">
        <v>36</v>
      </c>
      <c r="H783" s="5" t="str">
        <f>IFERROR(__xludf.DUMMYFUNCTION("REGEXEXTRACT(B783, ""\((\d+)\)"")"),"3")</f>
        <v>3</v>
      </c>
      <c r="I783" s="5"/>
      <c r="J783" s="5"/>
      <c r="K783" s="5"/>
      <c r="L783" s="5"/>
    </row>
    <row r="784" ht="35.25" customHeight="1">
      <c r="A784" s="5">
        <v>783.0</v>
      </c>
      <c r="B784" s="14" t="s">
        <v>1544</v>
      </c>
      <c r="C784" s="6" t="str">
        <f>IFERROR(__xludf.DUMMYFUNCTION("REGEXEXTRACT(B784, ""^[A-Z0-9-]+"")"),"MA-605")</f>
        <v>MA-605</v>
      </c>
      <c r="D784" s="14" t="s">
        <v>1511</v>
      </c>
      <c r="E784" s="15" t="s">
        <v>10</v>
      </c>
      <c r="F784" s="14" t="s">
        <v>237</v>
      </c>
      <c r="G784" s="8" t="s">
        <v>39</v>
      </c>
      <c r="H784" s="5" t="str">
        <f>IFERROR(__xludf.DUMMYFUNCTION("REGEXEXTRACT(B784, ""\((\d+)\)"")"),"3")</f>
        <v>3</v>
      </c>
      <c r="I784" s="5"/>
      <c r="J784" s="5"/>
      <c r="K784" s="5"/>
      <c r="L784" s="5"/>
    </row>
    <row r="785" ht="35.25" customHeight="1">
      <c r="A785" s="5">
        <v>784.0</v>
      </c>
      <c r="B785" s="14" t="s">
        <v>1545</v>
      </c>
      <c r="C785" s="6" t="str">
        <f>IFERROR(__xludf.DUMMYFUNCTION("REGEXEXTRACT(B785, ""^[A-Z0-9-]+"")"),"MA-607")</f>
        <v>MA-607</v>
      </c>
      <c r="D785" s="14" t="s">
        <v>1494</v>
      </c>
      <c r="E785" s="15" t="s">
        <v>10</v>
      </c>
      <c r="F785" s="14" t="s">
        <v>23</v>
      </c>
      <c r="G785" s="8" t="s">
        <v>12</v>
      </c>
      <c r="H785" s="5" t="str">
        <f>IFERROR(__xludf.DUMMYFUNCTION("REGEXEXTRACT(B785, ""\((\d+)\)"")"),"3")</f>
        <v>3</v>
      </c>
      <c r="I785" s="5"/>
      <c r="J785" s="5"/>
      <c r="K785" s="5"/>
      <c r="L785" s="5"/>
    </row>
    <row r="786" ht="35.25" customHeight="1">
      <c r="A786" s="5">
        <v>785.0</v>
      </c>
      <c r="B786" s="14" t="s">
        <v>1546</v>
      </c>
      <c r="C786" s="6" t="str">
        <f>IFERROR(__xludf.DUMMYFUNCTION("REGEXEXTRACT(B786, ""^[A-Z0-9-]+"")"),"MA-608")</f>
        <v>MA-608</v>
      </c>
      <c r="D786" s="14" t="s">
        <v>1547</v>
      </c>
      <c r="E786" s="15" t="s">
        <v>10</v>
      </c>
      <c r="F786" s="14" t="s">
        <v>19</v>
      </c>
      <c r="G786" s="8" t="s">
        <v>16</v>
      </c>
      <c r="H786" s="5" t="str">
        <f>IFERROR(__xludf.DUMMYFUNCTION("REGEXEXTRACT(B786, ""\((\d+)\)"")"),"3")</f>
        <v>3</v>
      </c>
      <c r="I786" s="5"/>
      <c r="J786" s="5"/>
      <c r="K786" s="5"/>
      <c r="L786" s="5"/>
    </row>
    <row r="787" ht="35.25" customHeight="1">
      <c r="A787" s="5">
        <v>786.0</v>
      </c>
      <c r="B787" s="14" t="s">
        <v>1548</v>
      </c>
      <c r="C787" s="6" t="str">
        <f>IFERROR(__xludf.DUMMYFUNCTION("REGEXEXTRACT(B787, ""^[A-Z0-9-]+"")"),"MA-609")</f>
        <v>MA-609</v>
      </c>
      <c r="D787" s="14" t="s">
        <v>1549</v>
      </c>
      <c r="E787" s="15" t="s">
        <v>10</v>
      </c>
      <c r="F787" s="14" t="s">
        <v>19</v>
      </c>
      <c r="G787" s="8" t="s">
        <v>20</v>
      </c>
      <c r="H787" s="5" t="str">
        <f>IFERROR(__xludf.DUMMYFUNCTION("REGEXEXTRACT(B787, ""\((\d+)\)"")"),"3")</f>
        <v>3</v>
      </c>
      <c r="I787" s="5"/>
      <c r="J787" s="5"/>
      <c r="K787" s="5"/>
      <c r="L787" s="5"/>
    </row>
    <row r="788" ht="35.25" customHeight="1">
      <c r="A788" s="5">
        <v>787.0</v>
      </c>
      <c r="B788" s="6" t="s">
        <v>1550</v>
      </c>
      <c r="C788" s="6" t="str">
        <f>IFERROR(__xludf.DUMMYFUNCTION("REGEXEXTRACT(B788, ""^[A-Z0-9-]+"")"),"MA-610")</f>
        <v>MA-610</v>
      </c>
      <c r="D788" s="6" t="s">
        <v>1551</v>
      </c>
      <c r="E788" s="15" t="s">
        <v>10</v>
      </c>
      <c r="F788" s="6" t="s">
        <v>19</v>
      </c>
      <c r="G788" s="8" t="s">
        <v>24</v>
      </c>
      <c r="H788" s="5" t="str">
        <f>IFERROR(__xludf.DUMMYFUNCTION("REGEXEXTRACT(B788, ""\((\d+)\)"")"),"3")</f>
        <v>3</v>
      </c>
      <c r="I788" s="5"/>
      <c r="J788" s="5"/>
      <c r="K788" s="5"/>
      <c r="L788" s="5"/>
    </row>
    <row r="789" ht="35.25" customHeight="1">
      <c r="A789" s="5">
        <v>788.0</v>
      </c>
      <c r="B789" s="6" t="s">
        <v>1552</v>
      </c>
      <c r="C789" s="6" t="str">
        <f>IFERROR(__xludf.DUMMYFUNCTION("REGEXEXTRACT(B789, ""^[A-Z0-9-]+"")"),"MA-611")</f>
        <v>MA-611</v>
      </c>
      <c r="D789" s="6" t="s">
        <v>1553</v>
      </c>
      <c r="E789" s="15" t="s">
        <v>10</v>
      </c>
      <c r="F789" s="6" t="s">
        <v>11</v>
      </c>
      <c r="G789" s="8" t="s">
        <v>27</v>
      </c>
      <c r="H789" s="5" t="str">
        <f>IFERROR(__xludf.DUMMYFUNCTION("REGEXEXTRACT(B789, ""\((\d+)\)"")"),"4")</f>
        <v>4</v>
      </c>
      <c r="I789" s="5"/>
      <c r="J789" s="5"/>
      <c r="K789" s="5"/>
      <c r="L789" s="5"/>
    </row>
    <row r="790" ht="35.25" customHeight="1">
      <c r="A790" s="5">
        <v>789.0</v>
      </c>
      <c r="B790" s="14" t="s">
        <v>1554</v>
      </c>
      <c r="C790" s="6" t="str">
        <f>IFERROR(__xludf.DUMMYFUNCTION("REGEXEXTRACT(B790, ""^[A-Z0-9-]+"")"),"MA")</f>
        <v>MA</v>
      </c>
      <c r="D790" s="14" t="s">
        <v>1555</v>
      </c>
      <c r="E790" s="15" t="s">
        <v>10</v>
      </c>
      <c r="F790" s="14" t="s">
        <v>11</v>
      </c>
      <c r="G790" s="8" t="s">
        <v>30</v>
      </c>
      <c r="H790" s="5" t="str">
        <f>IFERROR(__xludf.DUMMYFUNCTION("REGEXEXTRACT(B790, ""\((\d+)\)"")"),"4")</f>
        <v>4</v>
      </c>
      <c r="I790" s="5"/>
      <c r="J790" s="5"/>
      <c r="K790" s="5"/>
      <c r="L790" s="5"/>
    </row>
    <row r="791" ht="35.25" customHeight="1">
      <c r="A791" s="5">
        <v>790.0</v>
      </c>
      <c r="B791" s="14" t="s">
        <v>1556</v>
      </c>
      <c r="C791" s="6" t="str">
        <f>IFERROR(__xludf.DUMMYFUNCTION("REGEXEXTRACT(B791, ""^[A-Z0-9-]+"")"),"MA")</f>
        <v>MA</v>
      </c>
      <c r="D791" s="14" t="s">
        <v>1557</v>
      </c>
      <c r="E791" s="15" t="s">
        <v>10</v>
      </c>
      <c r="F791" s="14" t="s">
        <v>19</v>
      </c>
      <c r="G791" s="8" t="s">
        <v>33</v>
      </c>
      <c r="H791" s="5" t="str">
        <f>IFERROR(__xludf.DUMMYFUNCTION("REGEXEXTRACT(B791, ""\((\d+)\)"")"),"3")</f>
        <v>3</v>
      </c>
      <c r="I791" s="5"/>
      <c r="J791" s="5"/>
      <c r="K791" s="5"/>
      <c r="L791" s="5"/>
    </row>
    <row r="792" ht="35.25" customHeight="1">
      <c r="A792" s="5">
        <v>791.0</v>
      </c>
      <c r="B792" s="14" t="s">
        <v>1558</v>
      </c>
      <c r="C792" s="6" t="str">
        <f>IFERROR(__xludf.DUMMYFUNCTION("REGEXEXTRACT(B792, ""^[A-Z0-9-]+"")"),"MA-641")</f>
        <v>MA-641</v>
      </c>
      <c r="D792" s="14" t="s">
        <v>1559</v>
      </c>
      <c r="E792" s="15" t="s">
        <v>10</v>
      </c>
      <c r="F792" s="14" t="s">
        <v>19</v>
      </c>
      <c r="G792" s="8" t="s">
        <v>36</v>
      </c>
      <c r="H792" s="5" t="str">
        <f>IFERROR(__xludf.DUMMYFUNCTION("REGEXEXTRACT(B792, ""\((\d+)\)"")"),"3")</f>
        <v>3</v>
      </c>
      <c r="I792" s="5"/>
      <c r="J792" s="5"/>
      <c r="K792" s="5"/>
      <c r="L792" s="5"/>
    </row>
    <row r="793" ht="35.25" customHeight="1">
      <c r="A793" s="5">
        <v>792.0</v>
      </c>
      <c r="B793" s="14" t="s">
        <v>1560</v>
      </c>
      <c r="C793" s="6" t="str">
        <f>IFERROR(__xludf.DUMMYFUNCTION("REGEXEXTRACT(B793, ""^[A-Z0-9-]+"")"),"MA-644")</f>
        <v>MA-644</v>
      </c>
      <c r="D793" s="14" t="s">
        <v>1561</v>
      </c>
      <c r="E793" s="15" t="s">
        <v>10</v>
      </c>
      <c r="F793" s="14" t="s">
        <v>19</v>
      </c>
      <c r="G793" s="8" t="s">
        <v>39</v>
      </c>
      <c r="H793" s="5" t="str">
        <f>IFERROR(__xludf.DUMMYFUNCTION("REGEXEXTRACT(B793, ""\((\d+)\)"")"),"3")</f>
        <v>3</v>
      </c>
      <c r="I793" s="5"/>
      <c r="J793" s="5"/>
      <c r="K793" s="5"/>
      <c r="L793" s="5"/>
    </row>
    <row r="794" ht="35.25" customHeight="1">
      <c r="A794" s="5">
        <v>793.0</v>
      </c>
      <c r="B794" s="14" t="s">
        <v>1562</v>
      </c>
      <c r="C794" s="6" t="str">
        <f>IFERROR(__xludf.DUMMYFUNCTION("REGEXEXTRACT(B794, ""^[A-Z0-9-]+"")"),"MA-650")</f>
        <v>MA-650</v>
      </c>
      <c r="D794" s="14" t="s">
        <v>1563</v>
      </c>
      <c r="E794" s="15" t="s">
        <v>10</v>
      </c>
      <c r="F794" s="14" t="s">
        <v>19</v>
      </c>
      <c r="G794" s="8" t="s">
        <v>12</v>
      </c>
      <c r="H794" s="5" t="str">
        <f>IFERROR(__xludf.DUMMYFUNCTION("REGEXEXTRACT(B794, ""\((\d+)\)"")"),"3")</f>
        <v>3</v>
      </c>
      <c r="I794" s="5"/>
      <c r="J794" s="5"/>
      <c r="K794" s="5"/>
      <c r="L794" s="5"/>
    </row>
    <row r="795" ht="35.25" customHeight="1">
      <c r="A795" s="5">
        <v>794.0</v>
      </c>
      <c r="B795" s="14" t="s">
        <v>1564</v>
      </c>
      <c r="C795" s="6" t="str">
        <f>IFERROR(__xludf.DUMMYFUNCTION("REGEXEXTRACT(B795, ""^[A-Z0-9-]+"")"),"MA-651")</f>
        <v>MA-651</v>
      </c>
      <c r="D795" s="14" t="s">
        <v>1565</v>
      </c>
      <c r="E795" s="15" t="s">
        <v>10</v>
      </c>
      <c r="F795" s="14" t="s">
        <v>19</v>
      </c>
      <c r="G795" s="8" t="s">
        <v>16</v>
      </c>
      <c r="H795" s="5" t="str">
        <f>IFERROR(__xludf.DUMMYFUNCTION("REGEXEXTRACT(B795, ""\((\d+)\)"")"),"3")</f>
        <v>3</v>
      </c>
      <c r="I795" s="5"/>
      <c r="J795" s="5"/>
      <c r="K795" s="5"/>
      <c r="L795" s="5"/>
    </row>
    <row r="796" ht="35.25" customHeight="1">
      <c r="A796" s="5">
        <v>795.0</v>
      </c>
      <c r="B796" s="14" t="s">
        <v>1566</v>
      </c>
      <c r="C796" s="6" t="str">
        <f>IFERROR(__xludf.DUMMYFUNCTION("REGEXEXTRACT(B796, ""^[A-Z0-9-]+"")"),"MA-653")</f>
        <v>MA-653</v>
      </c>
      <c r="D796" s="14" t="s">
        <v>1567</v>
      </c>
      <c r="E796" s="15" t="s">
        <v>10</v>
      </c>
      <c r="F796" s="14" t="s">
        <v>237</v>
      </c>
      <c r="G796" s="8" t="s">
        <v>20</v>
      </c>
      <c r="H796" s="5" t="str">
        <f>IFERROR(__xludf.DUMMYFUNCTION("REGEXEXTRACT(B796, ""\((\d+)\)"")"),"3")</f>
        <v>3</v>
      </c>
      <c r="I796" s="5"/>
      <c r="J796" s="5"/>
      <c r="K796" s="5"/>
      <c r="L796" s="5"/>
    </row>
    <row r="797" ht="35.25" customHeight="1">
      <c r="A797" s="5">
        <v>796.0</v>
      </c>
      <c r="B797" s="14" t="s">
        <v>1568</v>
      </c>
      <c r="C797" s="6" t="str">
        <f>IFERROR(__xludf.DUMMYFUNCTION("REGEXEXTRACT(B797, ""^[A-Z0-9-]+"")"),"MA-653P")</f>
        <v>MA-653P</v>
      </c>
      <c r="D797" s="14" t="s">
        <v>1569</v>
      </c>
      <c r="E797" s="15" t="s">
        <v>10</v>
      </c>
      <c r="F797" s="14" t="s">
        <v>82</v>
      </c>
      <c r="G797" s="8" t="s">
        <v>24</v>
      </c>
      <c r="H797" s="5" t="str">
        <f>IFERROR(__xludf.DUMMYFUNCTION("REGEXEXTRACT(B797, ""\((\d+)\)"")"),"1")</f>
        <v>1</v>
      </c>
      <c r="I797" s="5"/>
      <c r="J797" s="5"/>
      <c r="K797" s="5"/>
      <c r="L797" s="5"/>
    </row>
    <row r="798" ht="35.25" customHeight="1">
      <c r="A798" s="5">
        <v>797.0</v>
      </c>
      <c r="B798" s="14" t="s">
        <v>1570</v>
      </c>
      <c r="C798" s="6" t="str">
        <f>IFERROR(__xludf.DUMMYFUNCTION("REGEXEXTRACT(B798, ""^[A-Z0-9-]+"")"),"MA-654")</f>
        <v>MA-654</v>
      </c>
      <c r="D798" s="14" t="s">
        <v>1571</v>
      </c>
      <c r="E798" s="15" t="s">
        <v>10</v>
      </c>
      <c r="F798" s="14" t="s">
        <v>237</v>
      </c>
      <c r="G798" s="8" t="s">
        <v>27</v>
      </c>
      <c r="H798" s="5" t="str">
        <f>IFERROR(__xludf.DUMMYFUNCTION("REGEXEXTRACT(B798, ""\((\d+)\)"")"),"3")</f>
        <v>3</v>
      </c>
      <c r="I798" s="5"/>
      <c r="J798" s="5"/>
      <c r="K798" s="5"/>
      <c r="L798" s="5"/>
    </row>
    <row r="799" ht="35.25" customHeight="1">
      <c r="A799" s="5">
        <v>798.0</v>
      </c>
      <c r="B799" s="14" t="s">
        <v>1572</v>
      </c>
      <c r="C799" s="6" t="str">
        <f>IFERROR(__xludf.DUMMYFUNCTION("REGEXEXTRACT(B799, ""^[A-Z0-9-]+"")"),"MA-655")</f>
        <v>MA-655</v>
      </c>
      <c r="D799" s="14" t="s">
        <v>1573</v>
      </c>
      <c r="E799" s="15" t="s">
        <v>10</v>
      </c>
      <c r="F799" s="14" t="s">
        <v>237</v>
      </c>
      <c r="G799" s="8" t="s">
        <v>30</v>
      </c>
      <c r="H799" s="5" t="str">
        <f>IFERROR(__xludf.DUMMYFUNCTION("REGEXEXTRACT(B799, ""\((\d+)\)"")"),"3")</f>
        <v>3</v>
      </c>
      <c r="I799" s="5"/>
      <c r="J799" s="5"/>
      <c r="K799" s="5"/>
      <c r="L799" s="5"/>
    </row>
    <row r="800" ht="35.25" customHeight="1">
      <c r="A800" s="5">
        <v>799.0</v>
      </c>
      <c r="B800" s="14" t="s">
        <v>1574</v>
      </c>
      <c r="C800" s="6" t="str">
        <f>IFERROR(__xludf.DUMMYFUNCTION("REGEXEXTRACT(B800, ""^[A-Z0-9-]+"")"),"MA-656")</f>
        <v>MA-656</v>
      </c>
      <c r="D800" s="14" t="s">
        <v>1575</v>
      </c>
      <c r="E800" s="15" t="s">
        <v>10</v>
      </c>
      <c r="F800" s="14" t="s">
        <v>237</v>
      </c>
      <c r="G800" s="8" t="s">
        <v>33</v>
      </c>
      <c r="H800" s="5" t="str">
        <f>IFERROR(__xludf.DUMMYFUNCTION("REGEXEXTRACT(B800, ""\((\d+)\)"")"),"3")</f>
        <v>3</v>
      </c>
      <c r="I800" s="5"/>
      <c r="J800" s="5"/>
      <c r="K800" s="5"/>
      <c r="L800" s="5"/>
    </row>
    <row r="801" ht="35.25" customHeight="1">
      <c r="A801" s="5">
        <v>800.0</v>
      </c>
      <c r="B801" s="14" t="s">
        <v>1576</v>
      </c>
      <c r="C801" s="6" t="str">
        <f>IFERROR(__xludf.DUMMYFUNCTION("REGEXEXTRACT(B801, ""^[A-Z0-9-]+"")"),"MA-704")</f>
        <v>MA-704</v>
      </c>
      <c r="D801" s="14" t="s">
        <v>1577</v>
      </c>
      <c r="E801" s="15" t="s">
        <v>10</v>
      </c>
      <c r="F801" s="14" t="s">
        <v>19</v>
      </c>
      <c r="G801" s="8" t="s">
        <v>36</v>
      </c>
      <c r="H801" s="5" t="str">
        <f>IFERROR(__xludf.DUMMYFUNCTION("REGEXEXTRACT(B801, ""\((\d+)\)"")"),"3")</f>
        <v>3</v>
      </c>
      <c r="I801" s="5"/>
      <c r="J801" s="5"/>
      <c r="K801" s="5"/>
      <c r="L801" s="5"/>
    </row>
    <row r="802" ht="35.25" customHeight="1">
      <c r="A802" s="5">
        <v>801.0</v>
      </c>
      <c r="B802" s="14" t="s">
        <v>1578</v>
      </c>
      <c r="C802" s="6" t="str">
        <f>IFERROR(__xludf.DUMMYFUNCTION("REGEXEXTRACT(B802, ""^[A-Z0-9-]+"")"),"MA-709")</f>
        <v>MA-709</v>
      </c>
      <c r="D802" s="14" t="s">
        <v>1579</v>
      </c>
      <c r="E802" s="15" t="s">
        <v>10</v>
      </c>
      <c r="F802" s="14" t="s">
        <v>23</v>
      </c>
      <c r="G802" s="8" t="s">
        <v>39</v>
      </c>
      <c r="H802" s="5" t="str">
        <f>IFERROR(__xludf.DUMMYFUNCTION("REGEXEXTRACT(B802, ""\((\d+)\)"")"),"3")</f>
        <v>3</v>
      </c>
      <c r="I802" s="5"/>
      <c r="J802" s="5"/>
      <c r="K802" s="5"/>
      <c r="L802" s="5"/>
    </row>
    <row r="803" ht="35.25" customHeight="1">
      <c r="A803" s="5">
        <v>802.0</v>
      </c>
      <c r="B803" s="14" t="s">
        <v>1580</v>
      </c>
      <c r="C803" s="6" t="str">
        <f>IFERROR(__xludf.DUMMYFUNCTION("REGEXEXTRACT(B803, ""^[A-Z0-9-]+"")"),"MA-765")</f>
        <v>MA-765</v>
      </c>
      <c r="D803" s="14" t="s">
        <v>1581</v>
      </c>
      <c r="E803" s="15" t="s">
        <v>10</v>
      </c>
      <c r="F803" s="14" t="s">
        <v>435</v>
      </c>
      <c r="G803" s="8" t="s">
        <v>12</v>
      </c>
      <c r="H803" s="5" t="str">
        <f>IFERROR(__xludf.DUMMYFUNCTION("REGEXEXTRACT(B803, ""\((\d+)\)"")"),"4")</f>
        <v>4</v>
      </c>
      <c r="I803" s="5"/>
      <c r="J803" s="5"/>
      <c r="K803" s="5"/>
      <c r="L803" s="5"/>
    </row>
    <row r="804" ht="35.25" customHeight="1">
      <c r="A804" s="5">
        <v>803.0</v>
      </c>
      <c r="B804" s="14" t="s">
        <v>1582</v>
      </c>
      <c r="C804" s="6" t="str">
        <f>IFERROR(__xludf.DUMMYFUNCTION("REGEXEXTRACT(B804, ""^[A-Z0-9-]+"")"),"MA-780")</f>
        <v>MA-780</v>
      </c>
      <c r="D804" s="14" t="s">
        <v>1583</v>
      </c>
      <c r="E804" s="15" t="s">
        <v>10</v>
      </c>
      <c r="F804" s="14" t="s">
        <v>19</v>
      </c>
      <c r="G804" s="8" t="s">
        <v>16</v>
      </c>
      <c r="H804" s="5" t="str">
        <f>IFERROR(__xludf.DUMMYFUNCTION("REGEXEXTRACT(B804, ""\((\d+)\)"")"),"3")</f>
        <v>3</v>
      </c>
      <c r="I804" s="5"/>
      <c r="J804" s="5"/>
      <c r="K804" s="5"/>
      <c r="L804" s="5"/>
    </row>
    <row r="805" ht="35.25" customHeight="1">
      <c r="A805" s="5">
        <v>804.0</v>
      </c>
      <c r="B805" s="22" t="s">
        <v>1584</v>
      </c>
      <c r="C805" s="6" t="str">
        <f>IFERROR(__xludf.DUMMYFUNCTION("REGEXEXTRACT(B805, ""^[A-Z0-9-]+"")"),"MB-201")</f>
        <v>MB-201</v>
      </c>
      <c r="D805" s="22" t="s">
        <v>1585</v>
      </c>
      <c r="E805" s="15" t="s">
        <v>10</v>
      </c>
      <c r="F805" s="22" t="s">
        <v>314</v>
      </c>
      <c r="G805" s="8" t="s">
        <v>20</v>
      </c>
      <c r="H805" s="5" t="str">
        <f>IFERROR(__xludf.DUMMYFUNCTION("REGEXEXTRACT(B805, ""\((\d+)\)"")"),"4")</f>
        <v>4</v>
      </c>
      <c r="I805" s="5"/>
      <c r="J805" s="5"/>
      <c r="K805" s="5"/>
      <c r="L805" s="5"/>
    </row>
    <row r="806" ht="35.25" customHeight="1">
      <c r="A806" s="5">
        <v>805.0</v>
      </c>
      <c r="B806" s="22" t="s">
        <v>1586</v>
      </c>
      <c r="C806" s="6" t="str">
        <f>IFERROR(__xludf.DUMMYFUNCTION("REGEXEXTRACT(B806, ""^[A-Z0-9-]+"")"),"MB-202")</f>
        <v>MB-202</v>
      </c>
      <c r="D806" s="6" t="s">
        <v>1587</v>
      </c>
      <c r="E806" s="15" t="s">
        <v>10</v>
      </c>
      <c r="F806" s="22" t="s">
        <v>19</v>
      </c>
      <c r="G806" s="8" t="s">
        <v>24</v>
      </c>
      <c r="H806" s="5" t="str">
        <f>IFERROR(__xludf.DUMMYFUNCTION("REGEXEXTRACT(B806, ""\((\d+)\)"")"),"3")</f>
        <v>3</v>
      </c>
      <c r="I806" s="5"/>
      <c r="J806" s="5"/>
      <c r="K806" s="5"/>
      <c r="L806" s="5"/>
    </row>
    <row r="807" ht="35.25" customHeight="1">
      <c r="A807" s="5">
        <v>806.0</v>
      </c>
      <c r="B807" s="6" t="s">
        <v>1588</v>
      </c>
      <c r="C807" s="6" t="str">
        <f>IFERROR(__xludf.DUMMYFUNCTION("REGEXEXTRACT(B807, ""^[A-Z0-9-]+"")"),"MB-509")</f>
        <v>MB-509</v>
      </c>
      <c r="D807" s="11" t="s">
        <v>1589</v>
      </c>
      <c r="E807" s="15" t="s">
        <v>10</v>
      </c>
      <c r="F807" s="6" t="s">
        <v>60</v>
      </c>
      <c r="G807" s="8" t="s">
        <v>27</v>
      </c>
      <c r="H807" s="5" t="str">
        <f>IFERROR(__xludf.DUMMYFUNCTION("REGEXEXTRACT(B807, ""\((\d+)\)"")"),"2")</f>
        <v>2</v>
      </c>
      <c r="I807" s="5"/>
      <c r="J807" s="5"/>
      <c r="K807" s="5"/>
      <c r="L807" s="5"/>
    </row>
    <row r="808" ht="35.25" customHeight="1">
      <c r="A808" s="5">
        <v>807.0</v>
      </c>
      <c r="B808" s="6" t="s">
        <v>1590</v>
      </c>
      <c r="C808" s="6" t="str">
        <f>IFERROR(__xludf.DUMMYFUNCTION("REGEXEXTRACT(B808, ""^[A-Z0-9-]+"")"),"MB-510")</f>
        <v>MB-510</v>
      </c>
      <c r="D808" s="6" t="s">
        <v>1591</v>
      </c>
      <c r="E808" s="15" t="s">
        <v>10</v>
      </c>
      <c r="F808" s="6" t="s">
        <v>60</v>
      </c>
      <c r="G808" s="8" t="s">
        <v>30</v>
      </c>
      <c r="H808" s="5" t="str">
        <f>IFERROR(__xludf.DUMMYFUNCTION("REGEXEXTRACT(B808, ""\((\d+)\)"")"),"2")</f>
        <v>2</v>
      </c>
      <c r="I808" s="5"/>
      <c r="J808" s="5"/>
      <c r="K808" s="5"/>
      <c r="L808" s="5"/>
    </row>
    <row r="809" ht="35.25" customHeight="1">
      <c r="A809" s="5">
        <v>808.0</v>
      </c>
      <c r="B809" s="6" t="s">
        <v>1592</v>
      </c>
      <c r="C809" s="6" t="str">
        <f>IFERROR(__xludf.DUMMYFUNCTION("REGEXEXTRACT(B809, ""^[A-Z0-9-]+"")"),"MB-511")</f>
        <v>MB-511</v>
      </c>
      <c r="D809" s="6" t="s">
        <v>1593</v>
      </c>
      <c r="E809" s="15" t="s">
        <v>10</v>
      </c>
      <c r="F809" s="6" t="s">
        <v>60</v>
      </c>
      <c r="G809" s="8" t="s">
        <v>33</v>
      </c>
      <c r="H809" s="5" t="str">
        <f>IFERROR(__xludf.DUMMYFUNCTION("REGEXEXTRACT(B809, ""\((\d+)\)"")"),"2")</f>
        <v>2</v>
      </c>
      <c r="I809" s="5"/>
      <c r="J809" s="5"/>
      <c r="K809" s="5"/>
      <c r="L809" s="5"/>
    </row>
    <row r="810" ht="35.25" customHeight="1">
      <c r="A810" s="5">
        <v>809.0</v>
      </c>
      <c r="B810" s="6" t="s">
        <v>1594</v>
      </c>
      <c r="C810" s="6" t="str">
        <f>IFERROR(__xludf.DUMMYFUNCTION("REGEXEXTRACT(B810, ""^[A-Z0-9-]+"")"),"MB-512")</f>
        <v>MB-512</v>
      </c>
      <c r="D810" s="6" t="s">
        <v>1595</v>
      </c>
      <c r="E810" s="15" t="s">
        <v>10</v>
      </c>
      <c r="F810" s="6" t="s">
        <v>60</v>
      </c>
      <c r="G810" s="8" t="s">
        <v>36</v>
      </c>
      <c r="H810" s="5" t="str">
        <f>IFERROR(__xludf.DUMMYFUNCTION("REGEXEXTRACT(B810, ""\((\d+)\)"")"),"2")</f>
        <v>2</v>
      </c>
      <c r="I810" s="5"/>
      <c r="J810" s="5"/>
      <c r="K810" s="5"/>
      <c r="L810" s="5"/>
    </row>
    <row r="811" ht="35.25" customHeight="1">
      <c r="A811" s="5">
        <v>810.0</v>
      </c>
      <c r="B811" s="6" t="s">
        <v>1596</v>
      </c>
      <c r="C811" s="6" t="str">
        <f>IFERROR(__xludf.DUMMYFUNCTION("REGEXEXTRACT(B811, ""^[A-Z0-9-]+"")"),"MB-513")</f>
        <v>MB-513</v>
      </c>
      <c r="D811" s="6" t="s">
        <v>1597</v>
      </c>
      <c r="E811" s="15" t="s">
        <v>10</v>
      </c>
      <c r="F811" s="6" t="s">
        <v>60</v>
      </c>
      <c r="G811" s="8" t="s">
        <v>39</v>
      </c>
      <c r="H811" s="5" t="str">
        <f>IFERROR(__xludf.DUMMYFUNCTION("REGEXEXTRACT(B811, ""\((\d+)\)"")"),"2")</f>
        <v>2</v>
      </c>
      <c r="I811" s="5"/>
      <c r="J811" s="5"/>
      <c r="K811" s="5"/>
      <c r="L811" s="5"/>
    </row>
    <row r="812" ht="35.25" customHeight="1">
      <c r="A812" s="5">
        <v>811.0</v>
      </c>
      <c r="B812" s="6" t="s">
        <v>1598</v>
      </c>
      <c r="C812" s="6" t="str">
        <f>IFERROR(__xludf.DUMMYFUNCTION("REGEXEXTRACT(B812, ""^[A-Z0-9-]+"")"),"MB-514")</f>
        <v>MB-514</v>
      </c>
      <c r="D812" s="6" t="s">
        <v>1599</v>
      </c>
      <c r="E812" s="15" t="s">
        <v>10</v>
      </c>
      <c r="F812" s="6" t="s">
        <v>60</v>
      </c>
      <c r="G812" s="8" t="s">
        <v>12</v>
      </c>
      <c r="H812" s="5" t="str">
        <f>IFERROR(__xludf.DUMMYFUNCTION("REGEXEXTRACT(B812, ""\((\d+)\)"")"),"2")</f>
        <v>2</v>
      </c>
      <c r="I812" s="5"/>
      <c r="J812" s="5"/>
      <c r="K812" s="5"/>
      <c r="L812" s="5"/>
    </row>
    <row r="813" ht="35.25" customHeight="1">
      <c r="A813" s="5">
        <v>812.0</v>
      </c>
      <c r="B813" s="6" t="s">
        <v>1600</v>
      </c>
      <c r="C813" s="6" t="str">
        <f>IFERROR(__xludf.DUMMYFUNCTION("REGEXEXTRACT(B813, ""^[A-Z0-9-]+"")"),"MB-515")</f>
        <v>MB-515</v>
      </c>
      <c r="D813" s="6" t="s">
        <v>1601</v>
      </c>
      <c r="E813" s="15" t="s">
        <v>10</v>
      </c>
      <c r="F813" s="6" t="s">
        <v>60</v>
      </c>
      <c r="G813" s="8" t="s">
        <v>16</v>
      </c>
      <c r="H813" s="5" t="str">
        <f>IFERROR(__xludf.DUMMYFUNCTION("REGEXEXTRACT(B813, ""\((\d+)\)"")"),"2")</f>
        <v>2</v>
      </c>
      <c r="I813" s="5"/>
      <c r="J813" s="5"/>
      <c r="K813" s="5"/>
      <c r="L813" s="5"/>
    </row>
    <row r="814" ht="35.25" customHeight="1">
      <c r="A814" s="5">
        <v>813.0</v>
      </c>
      <c r="B814" s="6" t="s">
        <v>1602</v>
      </c>
      <c r="C814" s="6" t="str">
        <f>IFERROR(__xludf.DUMMYFUNCTION("REGEXEXTRACT(B814, ""^[A-Z0-9-]+"")"),"MB-516")</f>
        <v>MB-516</v>
      </c>
      <c r="D814" s="6" t="s">
        <v>1603</v>
      </c>
      <c r="E814" s="15" t="s">
        <v>10</v>
      </c>
      <c r="F814" s="6" t="s">
        <v>60</v>
      </c>
      <c r="G814" s="8" t="s">
        <v>20</v>
      </c>
      <c r="H814" s="5" t="str">
        <f>IFERROR(__xludf.DUMMYFUNCTION("REGEXEXTRACT(B814, ""\((\d+)\)"")"),"2")</f>
        <v>2</v>
      </c>
      <c r="I814" s="5"/>
      <c r="J814" s="5"/>
      <c r="K814" s="5"/>
      <c r="L814" s="5"/>
    </row>
    <row r="815" ht="35.25" customHeight="1">
      <c r="A815" s="5">
        <v>814.0</v>
      </c>
      <c r="B815" s="6" t="s">
        <v>1604</v>
      </c>
      <c r="C815" s="6" t="str">
        <f>IFERROR(__xludf.DUMMYFUNCTION("REGEXEXTRACT(B815, ""^[A-Z0-9-]+"")"),"MB-517")</f>
        <v>MB-517</v>
      </c>
      <c r="D815" s="6" t="s">
        <v>1605</v>
      </c>
      <c r="E815" s="15" t="s">
        <v>10</v>
      </c>
      <c r="F815" s="6" t="s">
        <v>60</v>
      </c>
      <c r="G815" s="8" t="s">
        <v>24</v>
      </c>
      <c r="H815" s="5" t="str">
        <f>IFERROR(__xludf.DUMMYFUNCTION("REGEXEXTRACT(B815, ""\((\d+)\)"")"),"2")</f>
        <v>2</v>
      </c>
      <c r="I815" s="5"/>
      <c r="J815" s="5"/>
      <c r="K815" s="5"/>
      <c r="L815" s="5"/>
    </row>
    <row r="816" ht="35.25" customHeight="1">
      <c r="A816" s="5">
        <v>815.0</v>
      </c>
      <c r="B816" s="6" t="s">
        <v>1606</v>
      </c>
      <c r="C816" s="6" t="str">
        <f>IFERROR(__xludf.DUMMYFUNCTION("REGEXEXTRACT(B816, ""^[A-Z0-9-]+"")"),"MB-518")</f>
        <v>MB-518</v>
      </c>
      <c r="D816" s="6" t="s">
        <v>1607</v>
      </c>
      <c r="E816" s="15" t="s">
        <v>10</v>
      </c>
      <c r="F816" s="6" t="s">
        <v>60</v>
      </c>
      <c r="G816" s="8" t="s">
        <v>27</v>
      </c>
      <c r="H816" s="5" t="str">
        <f>IFERROR(__xludf.DUMMYFUNCTION("REGEXEXTRACT(B816, ""\((\d+)\)"")"),"2")</f>
        <v>2</v>
      </c>
      <c r="I816" s="5"/>
      <c r="J816" s="5"/>
      <c r="K816" s="5"/>
      <c r="L816" s="5"/>
    </row>
    <row r="817" ht="35.25" customHeight="1">
      <c r="A817" s="5">
        <v>816.0</v>
      </c>
      <c r="B817" s="6" t="s">
        <v>1608</v>
      </c>
      <c r="C817" s="6" t="str">
        <f>IFERROR(__xludf.DUMMYFUNCTION("REGEXEXTRACT(B817, ""^[A-Z0-9-]+"")"),"MB-519")</f>
        <v>MB-519</v>
      </c>
      <c r="D817" s="6" t="s">
        <v>1609</v>
      </c>
      <c r="E817" s="15" t="s">
        <v>10</v>
      </c>
      <c r="F817" s="6" t="s">
        <v>60</v>
      </c>
      <c r="G817" s="8" t="s">
        <v>30</v>
      </c>
      <c r="H817" s="5" t="str">
        <f>IFERROR(__xludf.DUMMYFUNCTION("REGEXEXTRACT(B817, ""\((\d+)\)"")"),"2")</f>
        <v>2</v>
      </c>
      <c r="I817" s="5"/>
      <c r="J817" s="5"/>
      <c r="K817" s="5"/>
      <c r="L817" s="5"/>
    </row>
    <row r="818" ht="35.25" customHeight="1">
      <c r="A818" s="5">
        <v>817.0</v>
      </c>
      <c r="B818" s="42" t="s">
        <v>1610</v>
      </c>
      <c r="C818" s="6" t="str">
        <f>IFERROR(__xludf.DUMMYFUNCTION("REGEXEXTRACT(B818, ""^[A-Z0-9-]+"")"),"MB-520")</f>
        <v>MB-520</v>
      </c>
      <c r="D818" s="42" t="s">
        <v>1611</v>
      </c>
      <c r="E818" s="15" t="s">
        <v>10</v>
      </c>
      <c r="F818" s="24" t="s">
        <v>60</v>
      </c>
      <c r="G818" s="8" t="s">
        <v>33</v>
      </c>
      <c r="H818" s="5" t="str">
        <f>IFERROR(__xludf.DUMMYFUNCTION("REGEXEXTRACT(B818, ""\((\d+)\)"")"),"2")</f>
        <v>2</v>
      </c>
      <c r="I818" s="5"/>
      <c r="J818" s="5"/>
      <c r="K818" s="5"/>
      <c r="L818" s="5"/>
    </row>
    <row r="819" ht="35.25" customHeight="1">
      <c r="A819" s="5">
        <v>818.0</v>
      </c>
      <c r="B819" s="42" t="s">
        <v>1612</v>
      </c>
      <c r="C819" s="6" t="str">
        <f>IFERROR(__xludf.DUMMYFUNCTION("REGEXEXTRACT(B819, ""^[A-Z0-9-]+"")"),"MB-521")</f>
        <v>MB-521</v>
      </c>
      <c r="D819" s="42" t="s">
        <v>1613</v>
      </c>
      <c r="E819" s="15" t="s">
        <v>10</v>
      </c>
      <c r="F819" s="24" t="s">
        <v>60</v>
      </c>
      <c r="G819" s="8" t="s">
        <v>36</v>
      </c>
      <c r="H819" s="5" t="str">
        <f>IFERROR(__xludf.DUMMYFUNCTION("REGEXEXTRACT(B819, ""\((\d+)\)"")"),"2")</f>
        <v>2</v>
      </c>
      <c r="I819" s="5"/>
      <c r="J819" s="5"/>
      <c r="K819" s="5"/>
      <c r="L819" s="5"/>
    </row>
    <row r="820" ht="35.25" customHeight="1">
      <c r="A820" s="5">
        <v>819.0</v>
      </c>
      <c r="B820" s="42" t="s">
        <v>1614</v>
      </c>
      <c r="C820" s="6" t="str">
        <f>IFERROR(__xludf.DUMMYFUNCTION("REGEXEXTRACT(B820, ""^[A-Z0-9-]+"")"),"MB-522")</f>
        <v>MB-522</v>
      </c>
      <c r="D820" s="42" t="s">
        <v>1615</v>
      </c>
      <c r="E820" s="15" t="s">
        <v>10</v>
      </c>
      <c r="F820" s="24" t="s">
        <v>60</v>
      </c>
      <c r="G820" s="8" t="s">
        <v>39</v>
      </c>
      <c r="H820" s="5" t="str">
        <f>IFERROR(__xludf.DUMMYFUNCTION("REGEXEXTRACT(B820, ""\((\d+)\)"")"),"2")</f>
        <v>2</v>
      </c>
      <c r="I820" s="5"/>
      <c r="J820" s="5"/>
      <c r="K820" s="5"/>
      <c r="L820" s="5"/>
    </row>
    <row r="821" ht="35.25" customHeight="1">
      <c r="A821" s="5">
        <v>820.0</v>
      </c>
      <c r="B821" s="42" t="s">
        <v>1616</v>
      </c>
      <c r="C821" s="6" t="str">
        <f>IFERROR(__xludf.DUMMYFUNCTION("REGEXEXTRACT(B821, ""^[A-Z0-9-]+"")"),"MB-523")</f>
        <v>MB-523</v>
      </c>
      <c r="D821" s="42" t="s">
        <v>1617</v>
      </c>
      <c r="E821" s="15" t="s">
        <v>10</v>
      </c>
      <c r="F821" s="24" t="s">
        <v>60</v>
      </c>
      <c r="G821" s="8" t="s">
        <v>12</v>
      </c>
      <c r="H821" s="5" t="str">
        <f>IFERROR(__xludf.DUMMYFUNCTION("REGEXEXTRACT(B821, ""\((\d+)\)"")"),"2")</f>
        <v>2</v>
      </c>
      <c r="I821" s="5"/>
      <c r="J821" s="5"/>
      <c r="K821" s="5"/>
      <c r="L821" s="5"/>
    </row>
    <row r="822" ht="35.25" customHeight="1">
      <c r="A822" s="5">
        <v>821.0</v>
      </c>
      <c r="B822" s="42" t="s">
        <v>1618</v>
      </c>
      <c r="C822" s="6" t="str">
        <f>IFERROR(__xludf.DUMMYFUNCTION("REGEXEXTRACT(B822, ""^[A-Z0-9-]+"")"),"MB-524")</f>
        <v>MB-524</v>
      </c>
      <c r="D822" s="42" t="s">
        <v>1125</v>
      </c>
      <c r="E822" s="15" t="s">
        <v>10</v>
      </c>
      <c r="F822" s="24" t="s">
        <v>60</v>
      </c>
      <c r="G822" s="8" t="s">
        <v>16</v>
      </c>
      <c r="H822" s="5" t="str">
        <f>IFERROR(__xludf.DUMMYFUNCTION("REGEXEXTRACT(B822, ""\((\d+)\)"")"),"2")</f>
        <v>2</v>
      </c>
      <c r="I822" s="5"/>
      <c r="J822" s="5"/>
      <c r="K822" s="5"/>
      <c r="L822" s="5"/>
    </row>
    <row r="823" ht="35.25" customHeight="1">
      <c r="A823" s="5">
        <v>822.0</v>
      </c>
      <c r="B823" s="42" t="s">
        <v>1619</v>
      </c>
      <c r="C823" s="6" t="str">
        <f>IFERROR(__xludf.DUMMYFUNCTION("REGEXEXTRACT(B823, ""^[A-Z0-9-]+"")"),"MB-525")</f>
        <v>MB-525</v>
      </c>
      <c r="D823" s="42" t="s">
        <v>1620</v>
      </c>
      <c r="E823" s="15" t="s">
        <v>10</v>
      </c>
      <c r="F823" s="24" t="s">
        <v>60</v>
      </c>
      <c r="G823" s="8" t="s">
        <v>20</v>
      </c>
      <c r="H823" s="5" t="str">
        <f>IFERROR(__xludf.DUMMYFUNCTION("REGEXEXTRACT(B823, ""\((\d+)\)"")"),"2")</f>
        <v>2</v>
      </c>
      <c r="I823" s="5"/>
      <c r="J823" s="5"/>
      <c r="K823" s="5"/>
      <c r="L823" s="5"/>
    </row>
    <row r="824" ht="35.25" customHeight="1">
      <c r="A824" s="5">
        <v>823.0</v>
      </c>
      <c r="B824" s="42" t="s">
        <v>1621</v>
      </c>
      <c r="C824" s="6" t="str">
        <f>IFERROR(__xludf.DUMMYFUNCTION("REGEXEXTRACT(B824, ""^[A-Z0-9-]+"")"),"MB-526")</f>
        <v>MB-526</v>
      </c>
      <c r="D824" s="42" t="s">
        <v>1622</v>
      </c>
      <c r="E824" s="15" t="s">
        <v>10</v>
      </c>
      <c r="F824" s="24" t="s">
        <v>60</v>
      </c>
      <c r="G824" s="8" t="s">
        <v>24</v>
      </c>
      <c r="H824" s="5" t="str">
        <f>IFERROR(__xludf.DUMMYFUNCTION("REGEXEXTRACT(B824, ""\((\d+)\)"")"),"2")</f>
        <v>2</v>
      </c>
      <c r="I824" s="5"/>
      <c r="J824" s="5"/>
      <c r="K824" s="5"/>
      <c r="L824" s="5"/>
    </row>
    <row r="825" ht="35.25" customHeight="1">
      <c r="A825" s="5">
        <v>824.0</v>
      </c>
      <c r="B825" s="42" t="s">
        <v>1623</v>
      </c>
      <c r="C825" s="6" t="str">
        <f>IFERROR(__xludf.DUMMYFUNCTION("REGEXEXTRACT(B825, ""^[A-Z0-9-]+"")"),"MB-527")</f>
        <v>MB-527</v>
      </c>
      <c r="D825" s="42" t="s">
        <v>1127</v>
      </c>
      <c r="E825" s="15" t="s">
        <v>10</v>
      </c>
      <c r="F825" s="24" t="s">
        <v>60</v>
      </c>
      <c r="G825" s="8" t="s">
        <v>27</v>
      </c>
      <c r="H825" s="5" t="str">
        <f>IFERROR(__xludf.DUMMYFUNCTION("REGEXEXTRACT(B825, ""\((\d+)\)"")"),"2")</f>
        <v>2</v>
      </c>
      <c r="I825" s="5"/>
      <c r="J825" s="5"/>
      <c r="K825" s="5"/>
      <c r="L825" s="5"/>
    </row>
    <row r="826" ht="35.25" customHeight="1">
      <c r="A826" s="5">
        <v>825.0</v>
      </c>
      <c r="B826" s="42" t="s">
        <v>1624</v>
      </c>
      <c r="C826" s="6" t="str">
        <f>IFERROR(__xludf.DUMMYFUNCTION("REGEXEXTRACT(B826, ""^[A-Z0-9-]+"")"),"MB-528")</f>
        <v>MB-528</v>
      </c>
      <c r="D826" s="42" t="s">
        <v>1625</v>
      </c>
      <c r="E826" s="15" t="s">
        <v>10</v>
      </c>
      <c r="F826" s="24" t="s">
        <v>60</v>
      </c>
      <c r="G826" s="8" t="s">
        <v>30</v>
      </c>
      <c r="H826" s="5" t="str">
        <f>IFERROR(__xludf.DUMMYFUNCTION("REGEXEXTRACT(B826, ""\((\d+)\)"")"),"2")</f>
        <v>2</v>
      </c>
      <c r="I826" s="5"/>
      <c r="J826" s="5"/>
      <c r="K826" s="5"/>
      <c r="L826" s="5"/>
    </row>
    <row r="827" ht="35.25" customHeight="1">
      <c r="A827" s="5">
        <v>826.0</v>
      </c>
      <c r="B827" s="42" t="s">
        <v>1626</v>
      </c>
      <c r="C827" s="6" t="str">
        <f>IFERROR(__xludf.DUMMYFUNCTION("REGEXEXTRACT(B827, ""^[A-Z0-9-]+"")"),"MB-530")</f>
        <v>MB-530</v>
      </c>
      <c r="D827" s="42" t="s">
        <v>1627</v>
      </c>
      <c r="E827" s="15" t="s">
        <v>10</v>
      </c>
      <c r="F827" s="24" t="s">
        <v>60</v>
      </c>
      <c r="G827" s="8" t="s">
        <v>33</v>
      </c>
      <c r="H827" s="5" t="str">
        <f>IFERROR(__xludf.DUMMYFUNCTION("REGEXEXTRACT(B827, ""\((\d+)\)"")"),"2")</f>
        <v>2</v>
      </c>
      <c r="I827" s="5"/>
      <c r="J827" s="5"/>
      <c r="K827" s="5"/>
      <c r="L827" s="5"/>
    </row>
    <row r="828" ht="35.25" customHeight="1">
      <c r="A828" s="5">
        <v>827.0</v>
      </c>
      <c r="B828" s="42" t="s">
        <v>1628</v>
      </c>
      <c r="C828" s="6" t="str">
        <f>IFERROR(__xludf.DUMMYFUNCTION("REGEXEXTRACT(B828, ""^[A-Z0-9-]+"")"),"MB-531")</f>
        <v>MB-531</v>
      </c>
      <c r="D828" s="42" t="s">
        <v>1629</v>
      </c>
      <c r="E828" s="15" t="s">
        <v>10</v>
      </c>
      <c r="F828" s="24" t="s">
        <v>60</v>
      </c>
      <c r="G828" s="8" t="s">
        <v>36</v>
      </c>
      <c r="H828" s="5" t="str">
        <f>IFERROR(__xludf.DUMMYFUNCTION("REGEXEXTRACT(B828, ""\((\d+)\)"")"),"2")</f>
        <v>2</v>
      </c>
      <c r="I828" s="5"/>
      <c r="J828" s="5"/>
      <c r="K828" s="5"/>
      <c r="L828" s="5"/>
    </row>
    <row r="829" ht="35.25" customHeight="1">
      <c r="A829" s="5">
        <v>828.0</v>
      </c>
      <c r="B829" s="42" t="s">
        <v>1630</v>
      </c>
      <c r="C829" s="6" t="str">
        <f>IFERROR(__xludf.DUMMYFUNCTION("REGEXEXTRACT(B829, ""^[A-Z0-9-]+"")"),"MB-532")</f>
        <v>MB-532</v>
      </c>
      <c r="D829" s="42" t="s">
        <v>1631</v>
      </c>
      <c r="E829" s="15" t="s">
        <v>10</v>
      </c>
      <c r="F829" s="24" t="s">
        <v>60</v>
      </c>
      <c r="G829" s="8" t="s">
        <v>39</v>
      </c>
      <c r="H829" s="5" t="str">
        <f>IFERROR(__xludf.DUMMYFUNCTION("REGEXEXTRACT(B829, ""\((\d+)\)"")"),"2")</f>
        <v>2</v>
      </c>
      <c r="I829" s="5"/>
      <c r="J829" s="5"/>
      <c r="K829" s="5"/>
      <c r="L829" s="5"/>
    </row>
    <row r="830" ht="35.25" customHeight="1">
      <c r="A830" s="5">
        <v>829.0</v>
      </c>
      <c r="B830" s="42" t="s">
        <v>1632</v>
      </c>
      <c r="C830" s="6" t="str">
        <f>IFERROR(__xludf.DUMMYFUNCTION("REGEXEXTRACT(B830, ""^[A-Z0-9-]+"")"),"MB-533")</f>
        <v>MB-533</v>
      </c>
      <c r="D830" s="42" t="s">
        <v>1633</v>
      </c>
      <c r="E830" s="15" t="s">
        <v>10</v>
      </c>
      <c r="F830" s="24" t="s">
        <v>60</v>
      </c>
      <c r="G830" s="8" t="s">
        <v>12</v>
      </c>
      <c r="H830" s="5" t="str">
        <f>IFERROR(__xludf.DUMMYFUNCTION("REGEXEXTRACT(B830, ""\((\d+)\)"")"),"2")</f>
        <v>2</v>
      </c>
      <c r="I830" s="5"/>
      <c r="J830" s="5"/>
      <c r="K830" s="5"/>
      <c r="L830" s="5"/>
    </row>
    <row r="831" ht="35.25" customHeight="1">
      <c r="A831" s="5">
        <v>830.0</v>
      </c>
      <c r="B831" s="22" t="s">
        <v>1634</v>
      </c>
      <c r="C831" s="6" t="str">
        <f>IFERROR(__xludf.DUMMYFUNCTION("REGEXEXTRACT(B831, ""^[A-Z0-9-]+"")"),"MB-550")</f>
        <v>MB-550</v>
      </c>
      <c r="D831" s="22" t="s">
        <v>1635</v>
      </c>
      <c r="E831" s="15" t="s">
        <v>10</v>
      </c>
      <c r="F831" s="22" t="s">
        <v>60</v>
      </c>
      <c r="G831" s="8" t="s">
        <v>16</v>
      </c>
      <c r="H831" s="5" t="str">
        <f>IFERROR(__xludf.DUMMYFUNCTION("REGEXEXTRACT(B831, ""\((\d+)\)"")"),"2")</f>
        <v>2</v>
      </c>
      <c r="I831" s="5"/>
      <c r="J831" s="5"/>
      <c r="K831" s="5"/>
      <c r="L831" s="5"/>
    </row>
    <row r="832" ht="35.25" customHeight="1">
      <c r="A832" s="5">
        <v>831.0</v>
      </c>
      <c r="B832" s="6" t="s">
        <v>1636</v>
      </c>
      <c r="C832" s="6" t="str">
        <f>IFERROR(__xludf.DUMMYFUNCTION("REGEXEXTRACT(B832, ""^[A-Z0-9-]+"")"),"MB-551")</f>
        <v>MB-551</v>
      </c>
      <c r="D832" s="6" t="s">
        <v>1637</v>
      </c>
      <c r="E832" s="15" t="s">
        <v>10</v>
      </c>
      <c r="F832" s="22" t="s">
        <v>60</v>
      </c>
      <c r="G832" s="8" t="s">
        <v>20</v>
      </c>
      <c r="H832" s="5" t="str">
        <f>IFERROR(__xludf.DUMMYFUNCTION("REGEXEXTRACT(B832, ""\((\d+)\)"")"),"2")</f>
        <v>2</v>
      </c>
      <c r="I832" s="5"/>
      <c r="J832" s="5"/>
      <c r="K832" s="5"/>
      <c r="L832" s="5"/>
    </row>
    <row r="833" ht="35.25" customHeight="1">
      <c r="A833" s="5">
        <v>832.0</v>
      </c>
      <c r="B833" s="6" t="s">
        <v>1638</v>
      </c>
      <c r="C833" s="6" t="str">
        <f>IFERROR(__xludf.DUMMYFUNCTION("REGEXEXTRACT(B833, ""^[A-Z0-9-]+"")"),"MB-552")</f>
        <v>MB-552</v>
      </c>
      <c r="D833" s="6" t="s">
        <v>1639</v>
      </c>
      <c r="E833" s="15" t="s">
        <v>10</v>
      </c>
      <c r="F833" s="22" t="s">
        <v>60</v>
      </c>
      <c r="G833" s="8" t="s">
        <v>24</v>
      </c>
      <c r="H833" s="5" t="str">
        <f>IFERROR(__xludf.DUMMYFUNCTION("REGEXEXTRACT(B833, ""\((\d+)\)"")"),"2")</f>
        <v>2</v>
      </c>
      <c r="I833" s="5"/>
      <c r="J833" s="5"/>
      <c r="K833" s="5"/>
      <c r="L833" s="5"/>
    </row>
    <row r="834" ht="35.25" customHeight="1">
      <c r="A834" s="5">
        <v>833.0</v>
      </c>
      <c r="B834" s="6" t="s">
        <v>1640</v>
      </c>
      <c r="C834" s="6" t="str">
        <f>IFERROR(__xludf.DUMMYFUNCTION("REGEXEXTRACT(B834, ""^[A-Z0-9-]+"")"),"MB-553")</f>
        <v>MB-553</v>
      </c>
      <c r="D834" s="6" t="s">
        <v>1641</v>
      </c>
      <c r="E834" s="15" t="s">
        <v>10</v>
      </c>
      <c r="F834" s="22" t="s">
        <v>60</v>
      </c>
      <c r="G834" s="8" t="s">
        <v>27</v>
      </c>
      <c r="H834" s="5" t="str">
        <f>IFERROR(__xludf.DUMMYFUNCTION("REGEXEXTRACT(B834, ""\((\d+)\)"")"),"2")</f>
        <v>2</v>
      </c>
      <c r="I834" s="5"/>
      <c r="J834" s="5"/>
      <c r="K834" s="5"/>
      <c r="L834" s="5"/>
    </row>
    <row r="835" ht="35.25" customHeight="1">
      <c r="A835" s="5">
        <v>834.0</v>
      </c>
      <c r="B835" s="11" t="s">
        <v>1642</v>
      </c>
      <c r="C835" s="6" t="str">
        <f>IFERROR(__xludf.DUMMYFUNCTION("REGEXEXTRACT(B835, ""^[A-Z0-9-]+"")"),"MB-554")</f>
        <v>MB-554</v>
      </c>
      <c r="D835" s="11" t="s">
        <v>1643</v>
      </c>
      <c r="E835" s="15" t="s">
        <v>10</v>
      </c>
      <c r="F835" s="22" t="s">
        <v>60</v>
      </c>
      <c r="G835" s="8" t="s">
        <v>30</v>
      </c>
      <c r="H835" s="5" t="str">
        <f>IFERROR(__xludf.DUMMYFUNCTION("REGEXEXTRACT(B835, ""\((\d+)\)"")"),"2")</f>
        <v>2</v>
      </c>
      <c r="I835" s="5"/>
      <c r="J835" s="5"/>
      <c r="K835" s="5"/>
      <c r="L835" s="5"/>
    </row>
    <row r="836" ht="35.25" customHeight="1">
      <c r="A836" s="5">
        <v>835.0</v>
      </c>
      <c r="B836" s="6" t="s">
        <v>1644</v>
      </c>
      <c r="C836" s="6" t="str">
        <f>IFERROR(__xludf.DUMMYFUNCTION("REGEXEXTRACT(B836, ""^[A-Z0-9-]+"")"),"MB-555")</f>
        <v>MB-555</v>
      </c>
      <c r="D836" s="6" t="s">
        <v>1645</v>
      </c>
      <c r="E836" s="15" t="s">
        <v>10</v>
      </c>
      <c r="F836" s="22" t="s">
        <v>60</v>
      </c>
      <c r="G836" s="8" t="s">
        <v>33</v>
      </c>
      <c r="H836" s="5" t="str">
        <f>IFERROR(__xludf.DUMMYFUNCTION("REGEXEXTRACT(B836, ""\((\d+)\)"")"),"2")</f>
        <v>2</v>
      </c>
      <c r="I836" s="5"/>
      <c r="J836" s="5"/>
      <c r="K836" s="5"/>
      <c r="L836" s="5"/>
    </row>
    <row r="837" ht="35.25" customHeight="1">
      <c r="A837" s="5">
        <v>836.0</v>
      </c>
      <c r="B837" s="6" t="s">
        <v>1646</v>
      </c>
      <c r="C837" s="6" t="str">
        <f>IFERROR(__xludf.DUMMYFUNCTION("REGEXEXTRACT(B837, ""^[A-Z0-9-]+"")"),"MB-556")</f>
        <v>MB-556</v>
      </c>
      <c r="D837" s="6" t="s">
        <v>1647</v>
      </c>
      <c r="E837" s="15" t="s">
        <v>10</v>
      </c>
      <c r="F837" s="22" t="s">
        <v>60</v>
      </c>
      <c r="G837" s="8" t="s">
        <v>36</v>
      </c>
      <c r="H837" s="5" t="str">
        <f>IFERROR(__xludf.DUMMYFUNCTION("REGEXEXTRACT(B837, ""\((\d+)\)"")"),"2")</f>
        <v>2</v>
      </c>
      <c r="I837" s="5"/>
      <c r="J837" s="5"/>
      <c r="K837" s="5"/>
      <c r="L837" s="5"/>
    </row>
    <row r="838" ht="35.25" customHeight="1">
      <c r="A838" s="5">
        <v>837.0</v>
      </c>
      <c r="B838" s="6" t="s">
        <v>1648</v>
      </c>
      <c r="C838" s="6" t="str">
        <f>IFERROR(__xludf.DUMMYFUNCTION("REGEXEXTRACT(B838, ""^[A-Z0-9-]+"")"),"MB-559")</f>
        <v>MB-559</v>
      </c>
      <c r="D838" s="6" t="s">
        <v>1649</v>
      </c>
      <c r="E838" s="15" t="s">
        <v>10</v>
      </c>
      <c r="F838" s="22" t="s">
        <v>60</v>
      </c>
      <c r="G838" s="8" t="s">
        <v>39</v>
      </c>
      <c r="H838" s="5" t="str">
        <f>IFERROR(__xludf.DUMMYFUNCTION("REGEXEXTRACT(B838, ""\((\d+)\)"")"),"2")</f>
        <v>2</v>
      </c>
      <c r="I838" s="5"/>
      <c r="J838" s="5"/>
      <c r="K838" s="5"/>
      <c r="L838" s="5"/>
    </row>
    <row r="839" ht="35.25" customHeight="1">
      <c r="A839" s="5">
        <v>838.0</v>
      </c>
      <c r="B839" s="6" t="s">
        <v>1650</v>
      </c>
      <c r="C839" s="6" t="str">
        <f>IFERROR(__xludf.DUMMYFUNCTION("REGEXEXTRACT(B839, ""^[A-Z0-9-]+"")"),"MB-560")</f>
        <v>MB-560</v>
      </c>
      <c r="D839" s="6" t="s">
        <v>1651</v>
      </c>
      <c r="E839" s="15" t="s">
        <v>10</v>
      </c>
      <c r="F839" s="22" t="s">
        <v>60</v>
      </c>
      <c r="G839" s="8" t="s">
        <v>12</v>
      </c>
      <c r="H839" s="5" t="str">
        <f>IFERROR(__xludf.DUMMYFUNCTION("REGEXEXTRACT(B839, ""\((\d+)\)"")"),"2")</f>
        <v>2</v>
      </c>
      <c r="I839" s="5"/>
      <c r="J839" s="5"/>
      <c r="K839" s="5"/>
      <c r="L839" s="5"/>
    </row>
    <row r="840" ht="35.25" customHeight="1">
      <c r="A840" s="5">
        <v>839.0</v>
      </c>
      <c r="B840" s="42" t="s">
        <v>1652</v>
      </c>
      <c r="C840" s="6" t="str">
        <f>IFERROR(__xludf.DUMMYFUNCTION("REGEXEXTRACT(B840, ""^[A-Z0-9-]+"")"),"MB-562")</f>
        <v>MB-562</v>
      </c>
      <c r="D840" s="42" t="s">
        <v>1653</v>
      </c>
      <c r="E840" s="15" t="s">
        <v>10</v>
      </c>
      <c r="F840" s="24" t="s">
        <v>60</v>
      </c>
      <c r="G840" s="8" t="s">
        <v>16</v>
      </c>
      <c r="H840" s="5" t="str">
        <f>IFERROR(__xludf.DUMMYFUNCTION("REGEXEXTRACT(B840, ""\((\d+)\)"")"),"2")</f>
        <v>2</v>
      </c>
      <c r="I840" s="5"/>
      <c r="J840" s="5"/>
      <c r="K840" s="5"/>
      <c r="L840" s="5"/>
    </row>
    <row r="841" ht="35.25" customHeight="1">
      <c r="A841" s="5">
        <v>840.0</v>
      </c>
      <c r="B841" s="42" t="s">
        <v>1654</v>
      </c>
      <c r="C841" s="6" t="str">
        <f>IFERROR(__xludf.DUMMYFUNCTION("REGEXEXTRACT(B841, ""^[A-Z0-9-]+"")"),"MB-570")</f>
        <v>MB-570</v>
      </c>
      <c r="D841" s="42" t="s">
        <v>1655</v>
      </c>
      <c r="E841" s="15" t="s">
        <v>10</v>
      </c>
      <c r="F841" s="24" t="s">
        <v>60</v>
      </c>
      <c r="G841" s="8" t="s">
        <v>20</v>
      </c>
      <c r="H841" s="5" t="str">
        <f>IFERROR(__xludf.DUMMYFUNCTION("REGEXEXTRACT(B841, ""\((\d+)\)"")"),"2")</f>
        <v>2</v>
      </c>
      <c r="I841" s="5"/>
      <c r="J841" s="5"/>
      <c r="K841" s="5"/>
      <c r="L841" s="5"/>
    </row>
    <row r="842" ht="35.25" customHeight="1">
      <c r="A842" s="5">
        <v>841.0</v>
      </c>
      <c r="B842" s="6" t="s">
        <v>1656</v>
      </c>
      <c r="C842" s="6" t="str">
        <f>IFERROR(__xludf.DUMMYFUNCTION("REGEXEXTRACT(B842, ""^[A-Z0-9-]+"")"),"MB-572")</f>
        <v>MB-572</v>
      </c>
      <c r="D842" s="6" t="s">
        <v>1657</v>
      </c>
      <c r="E842" s="15" t="s">
        <v>10</v>
      </c>
      <c r="F842" s="22" t="s">
        <v>60</v>
      </c>
      <c r="G842" s="8" t="s">
        <v>24</v>
      </c>
      <c r="H842" s="5" t="str">
        <f>IFERROR(__xludf.DUMMYFUNCTION("REGEXEXTRACT(B842, ""\((\d+)\)"")"),"2")</f>
        <v>2</v>
      </c>
      <c r="I842" s="5"/>
      <c r="J842" s="5"/>
      <c r="K842" s="5"/>
      <c r="L842" s="5"/>
    </row>
    <row r="843" ht="35.25" customHeight="1">
      <c r="A843" s="5">
        <v>842.0</v>
      </c>
      <c r="B843" s="6" t="s">
        <v>1658</v>
      </c>
      <c r="C843" s="6" t="str">
        <f>IFERROR(__xludf.DUMMYFUNCTION("REGEXEXTRACT(B843, ""^[A-Z0-9-]+"")"),"MB-573")</f>
        <v>MB-573</v>
      </c>
      <c r="D843" s="6" t="s">
        <v>1659</v>
      </c>
      <c r="E843" s="15" t="s">
        <v>10</v>
      </c>
      <c r="F843" s="22" t="s">
        <v>60</v>
      </c>
      <c r="G843" s="8" t="s">
        <v>27</v>
      </c>
      <c r="H843" s="5" t="str">
        <f>IFERROR(__xludf.DUMMYFUNCTION("REGEXEXTRACT(B843, ""\((\d+)\)"")"),"2")</f>
        <v>2</v>
      </c>
      <c r="I843" s="5"/>
      <c r="J843" s="5"/>
      <c r="K843" s="5"/>
      <c r="L843" s="5"/>
    </row>
    <row r="844" ht="35.25" customHeight="1">
      <c r="A844" s="5">
        <v>843.0</v>
      </c>
      <c r="B844" s="6" t="s">
        <v>1660</v>
      </c>
      <c r="C844" s="6" t="str">
        <f>IFERROR(__xludf.DUMMYFUNCTION("REGEXEXTRACT(B844, ""^[A-Z0-9-]+"")"),"MB-574")</f>
        <v>MB-574</v>
      </c>
      <c r="D844" s="6" t="s">
        <v>1661</v>
      </c>
      <c r="E844" s="15" t="s">
        <v>10</v>
      </c>
      <c r="F844" s="22" t="s">
        <v>60</v>
      </c>
      <c r="G844" s="8" t="s">
        <v>30</v>
      </c>
      <c r="H844" s="5" t="str">
        <f>IFERROR(__xludf.DUMMYFUNCTION("REGEXEXTRACT(B844, ""\((\d+)\)"")"),"2")</f>
        <v>2</v>
      </c>
      <c r="I844" s="5"/>
      <c r="J844" s="5"/>
      <c r="K844" s="5"/>
      <c r="L844" s="5"/>
    </row>
    <row r="845" ht="35.25" customHeight="1">
      <c r="A845" s="5">
        <v>844.0</v>
      </c>
      <c r="B845" s="6" t="s">
        <v>1662</v>
      </c>
      <c r="C845" s="6" t="str">
        <f>IFERROR(__xludf.DUMMYFUNCTION("REGEXEXTRACT(B845, ""^[A-Z0-9-]+"")"),"MB-579")</f>
        <v>MB-579</v>
      </c>
      <c r="D845" s="6" t="s">
        <v>1663</v>
      </c>
      <c r="E845" s="15" t="s">
        <v>10</v>
      </c>
      <c r="F845" s="24" t="s">
        <v>60</v>
      </c>
      <c r="G845" s="8" t="s">
        <v>33</v>
      </c>
      <c r="H845" s="5" t="str">
        <f>IFERROR(__xludf.DUMMYFUNCTION("REGEXEXTRACT(B845, ""\((\d+)\)"")"),"2")</f>
        <v>2</v>
      </c>
      <c r="I845" s="5"/>
      <c r="J845" s="5"/>
      <c r="K845" s="5"/>
      <c r="L845" s="5"/>
    </row>
    <row r="846" ht="35.25" customHeight="1">
      <c r="A846" s="5">
        <v>845.0</v>
      </c>
      <c r="B846" s="42" t="s">
        <v>1664</v>
      </c>
      <c r="C846" s="6" t="str">
        <f>IFERROR(__xludf.DUMMYFUNCTION("REGEXEXTRACT(B846, ""^[A-Z0-9-]+"")"),"MB-580")</f>
        <v>MB-580</v>
      </c>
      <c r="D846" s="42" t="s">
        <v>1665</v>
      </c>
      <c r="E846" s="15" t="s">
        <v>10</v>
      </c>
      <c r="F846" s="24" t="s">
        <v>60</v>
      </c>
      <c r="G846" s="8" t="s">
        <v>36</v>
      </c>
      <c r="H846" s="5" t="str">
        <f>IFERROR(__xludf.DUMMYFUNCTION("REGEXEXTRACT(B846, ""\((\d+)\)"")"),"2")</f>
        <v>2</v>
      </c>
      <c r="I846" s="5"/>
      <c r="J846" s="5"/>
      <c r="K846" s="5"/>
      <c r="L846" s="5"/>
    </row>
    <row r="847" ht="35.25" customHeight="1">
      <c r="A847" s="5">
        <v>846.0</v>
      </c>
      <c r="B847" s="6" t="s">
        <v>1666</v>
      </c>
      <c r="C847" s="6" t="str">
        <f>IFERROR(__xludf.DUMMYFUNCTION("REGEXEXTRACT(B847, ""^[A-Z0-9-]+"")"),"MB-581")</f>
        <v>MB-581</v>
      </c>
      <c r="D847" s="6" t="s">
        <v>1667</v>
      </c>
      <c r="E847" s="15" t="s">
        <v>10</v>
      </c>
      <c r="F847" s="22" t="s">
        <v>60</v>
      </c>
      <c r="G847" s="8" t="s">
        <v>39</v>
      </c>
      <c r="H847" s="5" t="str">
        <f>IFERROR(__xludf.DUMMYFUNCTION("REGEXEXTRACT(B847, ""\((\d+)\)"")"),"2")</f>
        <v>2</v>
      </c>
      <c r="I847" s="5"/>
      <c r="J847" s="5"/>
      <c r="K847" s="5"/>
      <c r="L847" s="5"/>
    </row>
    <row r="848" ht="35.25" customHeight="1">
      <c r="A848" s="5">
        <v>847.0</v>
      </c>
      <c r="B848" s="22" t="s">
        <v>1668</v>
      </c>
      <c r="C848" s="6" t="str">
        <f>IFERROR(__xludf.DUMMYFUNCTION("REGEXEXTRACT(B848, ""^[A-Z0-9-]+"")"),"MB-582")</f>
        <v>MB-582</v>
      </c>
      <c r="D848" s="22" t="s">
        <v>1669</v>
      </c>
      <c r="E848" s="15" t="s">
        <v>10</v>
      </c>
      <c r="F848" s="22" t="s">
        <v>60</v>
      </c>
      <c r="G848" s="8" t="s">
        <v>12</v>
      </c>
      <c r="H848" s="5" t="str">
        <f>IFERROR(__xludf.DUMMYFUNCTION("REGEXEXTRACT(B848, ""\((\d+)\)"")"),"2")</f>
        <v>2</v>
      </c>
      <c r="I848" s="5"/>
      <c r="J848" s="5"/>
      <c r="K848" s="5"/>
      <c r="L848" s="5"/>
    </row>
    <row r="849" ht="35.25" customHeight="1">
      <c r="A849" s="5">
        <v>848.0</v>
      </c>
      <c r="B849" s="22" t="s">
        <v>1670</v>
      </c>
      <c r="C849" s="6" t="str">
        <f>IFERROR(__xludf.DUMMYFUNCTION("REGEXEXTRACT(B849, ""^[A-Z0-9-]+"")"),"MB-583")</f>
        <v>MB-583</v>
      </c>
      <c r="D849" s="22" t="s">
        <v>1671</v>
      </c>
      <c r="E849" s="15" t="s">
        <v>10</v>
      </c>
      <c r="F849" s="22" t="s">
        <v>60</v>
      </c>
      <c r="G849" s="8" t="s">
        <v>16</v>
      </c>
      <c r="H849" s="5" t="str">
        <f>IFERROR(__xludf.DUMMYFUNCTION("REGEXEXTRACT(B849, ""\((\d+)\)"")"),"2")</f>
        <v>2</v>
      </c>
      <c r="I849" s="5"/>
      <c r="J849" s="5"/>
      <c r="K849" s="5"/>
      <c r="L849" s="5"/>
    </row>
    <row r="850" ht="35.25" customHeight="1">
      <c r="A850" s="5">
        <v>849.0</v>
      </c>
      <c r="B850" s="6" t="s">
        <v>1672</v>
      </c>
      <c r="C850" s="6" t="str">
        <f>IFERROR(__xludf.DUMMYFUNCTION("REGEXEXTRACT(B850, ""^[A-Z0-9-]+"")"),"MB-584")</f>
        <v>MB-584</v>
      </c>
      <c r="D850" s="6" t="s">
        <v>1673</v>
      </c>
      <c r="E850" s="15" t="s">
        <v>10</v>
      </c>
      <c r="F850" s="22" t="s">
        <v>60</v>
      </c>
      <c r="G850" s="8" t="s">
        <v>20</v>
      </c>
      <c r="H850" s="5" t="str">
        <f>IFERROR(__xludf.DUMMYFUNCTION("REGEXEXTRACT(B850, ""\((\d+)\)"")"),"2")</f>
        <v>2</v>
      </c>
      <c r="I850" s="5"/>
      <c r="J850" s="5"/>
      <c r="K850" s="5"/>
      <c r="L850" s="5"/>
    </row>
    <row r="851" ht="35.25" customHeight="1">
      <c r="A851" s="5">
        <v>850.0</v>
      </c>
      <c r="B851" s="42" t="s">
        <v>1674</v>
      </c>
      <c r="C851" s="6" t="str">
        <f>IFERROR(__xludf.DUMMYFUNCTION("REGEXEXTRACT(B851, ""^[A-Z0-9-]+"")"),"MB-592")</f>
        <v>MB-592</v>
      </c>
      <c r="D851" s="42" t="s">
        <v>1675</v>
      </c>
      <c r="E851" s="15" t="s">
        <v>10</v>
      </c>
      <c r="F851" s="24" t="s">
        <v>723</v>
      </c>
      <c r="G851" s="8" t="s">
        <v>24</v>
      </c>
      <c r="H851" s="5" t="str">
        <f>IFERROR(__xludf.DUMMYFUNCTION("REGEXEXTRACT(B851, ""\((\d+)\)"")"),"2")</f>
        <v>2</v>
      </c>
      <c r="I851" s="5"/>
      <c r="J851" s="5"/>
      <c r="K851" s="5"/>
      <c r="L851" s="5"/>
    </row>
    <row r="852" ht="35.25" customHeight="1">
      <c r="A852" s="5">
        <v>851.0</v>
      </c>
      <c r="B852" s="11" t="s">
        <v>1676</v>
      </c>
      <c r="C852" s="6" t="str">
        <f>IFERROR(__xludf.DUMMYFUNCTION("REGEXEXTRACT(B852, ""^[A-Z0-9-]+"")"),"ME-100")</f>
        <v>ME-100</v>
      </c>
      <c r="D852" s="11" t="s">
        <v>249</v>
      </c>
      <c r="E852" s="25" t="s">
        <v>10</v>
      </c>
      <c r="F852" s="11" t="s">
        <v>82</v>
      </c>
      <c r="G852" s="8" t="s">
        <v>27</v>
      </c>
      <c r="H852" s="5" t="str">
        <f>IFERROR(__xludf.DUMMYFUNCTION("REGEXEXTRACT(B852, ""\((\d+)\)"")"),"1")</f>
        <v>1</v>
      </c>
      <c r="I852" s="5"/>
      <c r="J852" s="5"/>
      <c r="K852" s="5"/>
      <c r="L852" s="5"/>
    </row>
    <row r="853" ht="35.25" customHeight="1">
      <c r="A853" s="5">
        <v>852.0</v>
      </c>
      <c r="B853" s="14" t="s">
        <v>1677</v>
      </c>
      <c r="C853" s="6" t="str">
        <f>IFERROR(__xludf.DUMMYFUNCTION("REGEXEXTRACT(B853, ""^[A-Z0-9-]+"")"),"ME-204")</f>
        <v>ME-204</v>
      </c>
      <c r="D853" s="14" t="s">
        <v>1678</v>
      </c>
      <c r="E853" s="15" t="s">
        <v>10</v>
      </c>
      <c r="F853" s="14" t="s">
        <v>19</v>
      </c>
      <c r="G853" s="8" t="s">
        <v>30</v>
      </c>
      <c r="H853" s="5" t="str">
        <f>IFERROR(__xludf.DUMMYFUNCTION("REGEXEXTRACT(B853, ""\((\d+)\)"")"),"3")</f>
        <v>3</v>
      </c>
      <c r="I853" s="5"/>
      <c r="J853" s="5"/>
      <c r="K853" s="5"/>
      <c r="L853" s="5"/>
    </row>
    <row r="854" ht="35.25" customHeight="1">
      <c r="A854" s="5">
        <v>853.0</v>
      </c>
      <c r="B854" s="14" t="s">
        <v>1679</v>
      </c>
      <c r="C854" s="6" t="str">
        <f>IFERROR(__xludf.DUMMYFUNCTION("REGEXEXTRACT(B854, ""^[A-Z0-9-]+"")"),"ME-205")</f>
        <v>ME-205</v>
      </c>
      <c r="D854" s="14" t="s">
        <v>1680</v>
      </c>
      <c r="E854" s="15" t="s">
        <v>10</v>
      </c>
      <c r="F854" s="14" t="s">
        <v>906</v>
      </c>
      <c r="G854" s="8" t="s">
        <v>33</v>
      </c>
      <c r="H854" s="5" t="str">
        <f>IFERROR(__xludf.DUMMYFUNCTION("REGEXEXTRACT(B854, ""\((\d+)\)"")"),"3")</f>
        <v>3</v>
      </c>
      <c r="I854" s="5"/>
      <c r="J854" s="5"/>
      <c r="K854" s="5"/>
      <c r="L854" s="5"/>
    </row>
    <row r="855" ht="35.25" customHeight="1">
      <c r="A855" s="5">
        <v>854.0</v>
      </c>
      <c r="B855" s="14" t="s">
        <v>1681</v>
      </c>
      <c r="C855" s="6" t="str">
        <f>IFERROR(__xludf.DUMMYFUNCTION("REGEXEXTRACT(B855, ""^[A-Z0-9-]+"")"),"ME-206")</f>
        <v>ME-206</v>
      </c>
      <c r="D855" s="14" t="s">
        <v>1682</v>
      </c>
      <c r="E855" s="15" t="s">
        <v>10</v>
      </c>
      <c r="F855" s="14" t="s">
        <v>713</v>
      </c>
      <c r="G855" s="8" t="s">
        <v>36</v>
      </c>
      <c r="H855" s="5" t="str">
        <f>IFERROR(__xludf.DUMMYFUNCTION("REGEXEXTRACT(B855, ""\((\d+)\)"")"),"3")</f>
        <v>3</v>
      </c>
      <c r="I855" s="5"/>
      <c r="J855" s="5"/>
      <c r="K855" s="5"/>
      <c r="L855" s="5"/>
    </row>
    <row r="856" ht="35.25" customHeight="1">
      <c r="A856" s="5">
        <v>855.0</v>
      </c>
      <c r="B856" s="14" t="s">
        <v>1683</v>
      </c>
      <c r="C856" s="6" t="str">
        <f>IFERROR(__xludf.DUMMYFUNCTION("REGEXEXTRACT(B856, ""^[A-Z0-9-]+"")"),"ME-210")</f>
        <v>ME-210</v>
      </c>
      <c r="D856" s="14" t="s">
        <v>1684</v>
      </c>
      <c r="E856" s="15" t="s">
        <v>10</v>
      </c>
      <c r="F856" s="14" t="s">
        <v>713</v>
      </c>
      <c r="G856" s="8" t="s">
        <v>39</v>
      </c>
      <c r="H856" s="5" t="str">
        <f>IFERROR(__xludf.DUMMYFUNCTION("REGEXEXTRACT(B856, ""\((\d+)\)"")"),"3")</f>
        <v>3</v>
      </c>
      <c r="I856" s="5"/>
      <c r="J856" s="5"/>
      <c r="K856" s="5"/>
      <c r="L856" s="5"/>
    </row>
    <row r="857" ht="35.25" customHeight="1">
      <c r="A857" s="5">
        <v>856.0</v>
      </c>
      <c r="B857" s="43" t="s">
        <v>1685</v>
      </c>
      <c r="C857" s="6" t="str">
        <f>IFERROR(__xludf.DUMMYFUNCTION("REGEXEXTRACT(B857, ""^[A-Z0-9-]+"")"),"ME-210P")</f>
        <v>ME-210P</v>
      </c>
      <c r="D857" s="43" t="s">
        <v>1686</v>
      </c>
      <c r="E857" s="38" t="s">
        <v>10</v>
      </c>
      <c r="F857" s="43" t="s">
        <v>82</v>
      </c>
      <c r="G857" s="8" t="s">
        <v>12</v>
      </c>
      <c r="H857" s="5" t="str">
        <f>IFERROR(__xludf.DUMMYFUNCTION("REGEXEXTRACT(B857, ""\((\d+)\)"")"),"1")</f>
        <v>1</v>
      </c>
      <c r="I857" s="20"/>
      <c r="J857" s="20"/>
      <c r="K857" s="20"/>
      <c r="L857" s="20"/>
    </row>
    <row r="858" ht="35.25" customHeight="1">
      <c r="A858" s="5">
        <v>857.0</v>
      </c>
      <c r="B858" s="44" t="s">
        <v>1687</v>
      </c>
      <c r="C858" s="6" t="str">
        <f>IFERROR(__xludf.DUMMYFUNCTION("REGEXEXTRACT(B858, ""^[A-Z0-9-]+"")"),"ME-210P")</f>
        <v>ME-210P</v>
      </c>
      <c r="D858" s="44" t="s">
        <v>1688</v>
      </c>
      <c r="E858" s="34" t="s">
        <v>87</v>
      </c>
      <c r="F858" s="44" t="s">
        <v>82</v>
      </c>
      <c r="G858" s="8" t="s">
        <v>16</v>
      </c>
      <c r="H858" s="5" t="str">
        <f>IFERROR(__xludf.DUMMYFUNCTION("REGEXEXTRACT(B858, ""\((\d+)\)"")"),"1")</f>
        <v>1</v>
      </c>
      <c r="I858" s="20"/>
      <c r="J858" s="20"/>
      <c r="K858" s="20"/>
      <c r="L858" s="20"/>
    </row>
    <row r="859" ht="35.25" customHeight="1">
      <c r="A859" s="5">
        <v>858.0</v>
      </c>
      <c r="B859" s="11" t="s">
        <v>1689</v>
      </c>
      <c r="C859" s="6" t="str">
        <f>IFERROR(__xludf.DUMMYFUNCTION("REGEXEXTRACT(B859, ""^[A-Z0-9-]+"")"),"ME-212")</f>
        <v>ME-212</v>
      </c>
      <c r="D859" s="11" t="s">
        <v>1690</v>
      </c>
      <c r="E859" s="25" t="s">
        <v>10</v>
      </c>
      <c r="F859" s="11" t="s">
        <v>1691</v>
      </c>
      <c r="G859" s="8" t="s">
        <v>20</v>
      </c>
      <c r="H859" s="5" t="str">
        <f>IFERROR(__xludf.DUMMYFUNCTION("REGEXEXTRACT(B859, ""\((\d+)\)"")"),"3")</f>
        <v>3</v>
      </c>
      <c r="I859" s="5"/>
      <c r="J859" s="5"/>
      <c r="K859" s="5"/>
      <c r="L859" s="5"/>
    </row>
    <row r="860" ht="35.25" customHeight="1">
      <c r="A860" s="5">
        <v>859.0</v>
      </c>
      <c r="B860" s="11" t="s">
        <v>1692</v>
      </c>
      <c r="C860" s="6" t="str">
        <f>IFERROR(__xludf.DUMMYFUNCTION("REGEXEXTRACT(B860, ""^[A-Z0-9-]+"")"),"ME-213")</f>
        <v>ME-213</v>
      </c>
      <c r="D860" s="11" t="s">
        <v>1318</v>
      </c>
      <c r="E860" s="25" t="s">
        <v>10</v>
      </c>
      <c r="F860" s="11" t="s">
        <v>11</v>
      </c>
      <c r="G860" s="8" t="s">
        <v>24</v>
      </c>
      <c r="H860" s="5" t="str">
        <f>IFERROR(__xludf.DUMMYFUNCTION("REGEXEXTRACT(B860, ""\((\d+)\)"")"),"4")</f>
        <v>4</v>
      </c>
      <c r="I860" s="5"/>
      <c r="J860" s="5"/>
      <c r="K860" s="5"/>
      <c r="L860" s="5"/>
    </row>
    <row r="861" ht="35.25" customHeight="1">
      <c r="A861" s="5">
        <v>860.0</v>
      </c>
      <c r="B861" s="11" t="s">
        <v>1693</v>
      </c>
      <c r="C861" s="6" t="str">
        <f>IFERROR(__xludf.DUMMYFUNCTION("REGEXEXTRACT(B861, ""^[A-Z0-9-]+"")"),"ME-215")</f>
        <v>ME-215</v>
      </c>
      <c r="D861" s="11" t="s">
        <v>1694</v>
      </c>
      <c r="E861" s="25" t="s">
        <v>10</v>
      </c>
      <c r="F861" s="11" t="s">
        <v>19</v>
      </c>
      <c r="G861" s="8" t="s">
        <v>27</v>
      </c>
      <c r="H861" s="5" t="str">
        <f>IFERROR(__xludf.DUMMYFUNCTION("REGEXEXTRACT(B861, ""\((\d+)\)"")"),"3")</f>
        <v>3</v>
      </c>
      <c r="I861" s="5"/>
      <c r="J861" s="5"/>
      <c r="K861" s="5"/>
      <c r="L861" s="5"/>
    </row>
    <row r="862" ht="35.25" customHeight="1">
      <c r="A862" s="5">
        <v>861.0</v>
      </c>
      <c r="B862" s="14" t="s">
        <v>1695</v>
      </c>
      <c r="C862" s="6" t="str">
        <f>IFERROR(__xludf.DUMMYFUNCTION("REGEXEXTRACT(B862, ""^[A-Z0-9-]+"")"),"ME-303")</f>
        <v>ME-303</v>
      </c>
      <c r="D862" s="14" t="s">
        <v>1696</v>
      </c>
      <c r="E862" s="15" t="s">
        <v>10</v>
      </c>
      <c r="F862" s="14" t="s">
        <v>713</v>
      </c>
      <c r="G862" s="8" t="s">
        <v>30</v>
      </c>
      <c r="H862" s="5" t="str">
        <f>IFERROR(__xludf.DUMMYFUNCTION("REGEXEXTRACT(B862, ""\((\d+)\)"")"),"3")</f>
        <v>3</v>
      </c>
      <c r="I862" s="5"/>
      <c r="J862" s="5"/>
      <c r="K862" s="5"/>
      <c r="L862" s="5"/>
    </row>
    <row r="863" ht="35.25" customHeight="1">
      <c r="A863" s="5">
        <v>862.0</v>
      </c>
      <c r="B863" s="22" t="s">
        <v>1697</v>
      </c>
      <c r="C863" s="6" t="str">
        <f>IFERROR(__xludf.DUMMYFUNCTION("REGEXEXTRACT(B863, ""^[A-Z0-9-]+"")"),"ME-303P")</f>
        <v>ME-303P</v>
      </c>
      <c r="D863" s="22" t="s">
        <v>1698</v>
      </c>
      <c r="E863" s="23" t="s">
        <v>10</v>
      </c>
      <c r="F863" s="22" t="s">
        <v>1699</v>
      </c>
      <c r="G863" s="8" t="s">
        <v>33</v>
      </c>
      <c r="H863" s="5" t="str">
        <f>IFERROR(__xludf.DUMMYFUNCTION("REGEXEXTRACT(B863, ""\((\d+)\)"")"),"#N/A")</f>
        <v>#N/A</v>
      </c>
      <c r="I863" s="5"/>
      <c r="J863" s="5"/>
      <c r="K863" s="5"/>
      <c r="L863" s="5"/>
    </row>
    <row r="864" ht="35.25" customHeight="1">
      <c r="A864" s="5">
        <v>863.0</v>
      </c>
      <c r="B864" s="14" t="s">
        <v>1700</v>
      </c>
      <c r="C864" s="6" t="str">
        <f>IFERROR(__xludf.DUMMYFUNCTION("REGEXEXTRACT(B864, ""^[A-Z0-9-]+"")"),"ME-304")</f>
        <v>ME-304</v>
      </c>
      <c r="D864" s="14" t="s">
        <v>1701</v>
      </c>
      <c r="E864" s="15" t="s">
        <v>10</v>
      </c>
      <c r="F864" s="14" t="s">
        <v>15</v>
      </c>
      <c r="G864" s="8" t="s">
        <v>36</v>
      </c>
      <c r="H864" s="5" t="str">
        <f>IFERROR(__xludf.DUMMYFUNCTION("REGEXEXTRACT(B864, ""\((\d+)\)"")"),"4")</f>
        <v>4</v>
      </c>
      <c r="I864" s="5"/>
      <c r="J864" s="5"/>
      <c r="K864" s="5"/>
      <c r="L864" s="5"/>
    </row>
    <row r="865" ht="35.25" customHeight="1">
      <c r="A865" s="5">
        <v>864.0</v>
      </c>
      <c r="B865" s="14" t="s">
        <v>1702</v>
      </c>
      <c r="C865" s="6" t="str">
        <f>IFERROR(__xludf.DUMMYFUNCTION("REGEXEXTRACT(B865, ""^[A-Z0-9-]+"")"),"ME-305")</f>
        <v>ME-305</v>
      </c>
      <c r="D865" s="14" t="s">
        <v>1703</v>
      </c>
      <c r="E865" s="15" t="s">
        <v>10</v>
      </c>
      <c r="F865" s="14" t="s">
        <v>11</v>
      </c>
      <c r="G865" s="8" t="s">
        <v>39</v>
      </c>
      <c r="H865" s="5" t="str">
        <f>IFERROR(__xludf.DUMMYFUNCTION("REGEXEXTRACT(B865, ""\((\d+)\)"")"),"4")</f>
        <v>4</v>
      </c>
      <c r="I865" s="5"/>
      <c r="J865" s="5"/>
      <c r="K865" s="5"/>
      <c r="L865" s="5"/>
    </row>
    <row r="866" ht="35.25" customHeight="1">
      <c r="A866" s="5">
        <v>865.0</v>
      </c>
      <c r="B866" s="14" t="s">
        <v>1704</v>
      </c>
      <c r="C866" s="6" t="str">
        <f>IFERROR(__xludf.DUMMYFUNCTION("REGEXEXTRACT(B866, ""^[A-Z0-9-]+"")"),"ME-307")</f>
        <v>ME-307</v>
      </c>
      <c r="D866" s="14" t="s">
        <v>1705</v>
      </c>
      <c r="E866" s="15" t="s">
        <v>10</v>
      </c>
      <c r="F866" s="14" t="s">
        <v>713</v>
      </c>
      <c r="G866" s="8" t="s">
        <v>12</v>
      </c>
      <c r="H866" s="5" t="str">
        <f>IFERROR(__xludf.DUMMYFUNCTION("REGEXEXTRACT(B866, ""\((\d+)\)"")"),"3")</f>
        <v>3</v>
      </c>
      <c r="I866" s="5"/>
      <c r="J866" s="5"/>
      <c r="K866" s="5"/>
      <c r="L866" s="5"/>
    </row>
    <row r="867" ht="35.25" customHeight="1">
      <c r="A867" s="5">
        <v>866.0</v>
      </c>
      <c r="B867" s="14" t="s">
        <v>1706</v>
      </c>
      <c r="C867" s="6" t="str">
        <f>IFERROR(__xludf.DUMMYFUNCTION("REGEXEXTRACT(B867, ""^[A-Z0-9-]+"")"),"ME-308")</f>
        <v>ME-308</v>
      </c>
      <c r="D867" s="14" t="s">
        <v>1707</v>
      </c>
      <c r="E867" s="15" t="s">
        <v>10</v>
      </c>
      <c r="F867" s="14" t="s">
        <v>19</v>
      </c>
      <c r="G867" s="8" t="s">
        <v>16</v>
      </c>
      <c r="H867" s="5" t="str">
        <f>IFERROR(__xludf.DUMMYFUNCTION("REGEXEXTRACT(B867, ""\((\d+)\)"")"),"3")</f>
        <v>3</v>
      </c>
      <c r="I867" s="5"/>
      <c r="J867" s="5"/>
      <c r="K867" s="5"/>
      <c r="L867" s="5"/>
    </row>
    <row r="868" ht="35.25" customHeight="1">
      <c r="A868" s="5">
        <v>867.0</v>
      </c>
      <c r="B868" s="14" t="s">
        <v>1708</v>
      </c>
      <c r="C868" s="6" t="str">
        <f>IFERROR(__xludf.DUMMYFUNCTION("REGEXEXTRACT(B868, ""^[A-Z0-9-]+"")"),"ME-309")</f>
        <v>ME-309</v>
      </c>
      <c r="D868" s="14" t="s">
        <v>1709</v>
      </c>
      <c r="E868" s="15" t="s">
        <v>10</v>
      </c>
      <c r="F868" s="14" t="s">
        <v>11</v>
      </c>
      <c r="G868" s="8" t="s">
        <v>20</v>
      </c>
      <c r="H868" s="5" t="str">
        <f>IFERROR(__xludf.DUMMYFUNCTION("REGEXEXTRACT(B868, ""\((\d+)\)"")"),"4")</f>
        <v>4</v>
      </c>
      <c r="I868" s="5"/>
      <c r="J868" s="5"/>
      <c r="K868" s="5"/>
      <c r="L868" s="5"/>
    </row>
    <row r="869" ht="35.25" customHeight="1">
      <c r="A869" s="5">
        <v>868.0</v>
      </c>
      <c r="B869" s="14" t="s">
        <v>1710</v>
      </c>
      <c r="C869" s="6" t="str">
        <f>IFERROR(__xludf.DUMMYFUNCTION("REGEXEXTRACT(B869, ""^[A-Z0-9-]+"")"),"ME-309P")</f>
        <v>ME-309P</v>
      </c>
      <c r="D869" s="14" t="s">
        <v>1711</v>
      </c>
      <c r="E869" s="15" t="s">
        <v>10</v>
      </c>
      <c r="F869" s="14" t="s">
        <v>82</v>
      </c>
      <c r="G869" s="8" t="s">
        <v>24</v>
      </c>
      <c r="H869" s="5" t="str">
        <f>IFERROR(__xludf.DUMMYFUNCTION("REGEXEXTRACT(B869, ""\((\d+)\)"")"),"1")</f>
        <v>1</v>
      </c>
      <c r="I869" s="5"/>
      <c r="J869" s="5"/>
      <c r="K869" s="5"/>
      <c r="L869" s="5"/>
    </row>
    <row r="870" ht="35.25" customHeight="1">
      <c r="A870" s="5">
        <v>869.0</v>
      </c>
      <c r="B870" s="14" t="s">
        <v>1712</v>
      </c>
      <c r="C870" s="6" t="str">
        <f>IFERROR(__xludf.DUMMYFUNCTION("REGEXEXTRACT(B870, ""^[A-Z0-9-]+"")"),"ME")</f>
        <v>ME</v>
      </c>
      <c r="D870" s="14" t="s">
        <v>1713</v>
      </c>
      <c r="E870" s="15" t="s">
        <v>10</v>
      </c>
      <c r="F870" s="14" t="s">
        <v>19</v>
      </c>
      <c r="G870" s="8" t="s">
        <v>27</v>
      </c>
      <c r="H870" s="5" t="str">
        <f>IFERROR(__xludf.DUMMYFUNCTION("REGEXEXTRACT(B870, ""\((\d+)\)"")"),"3")</f>
        <v>3</v>
      </c>
      <c r="I870" s="5"/>
      <c r="J870" s="5"/>
      <c r="K870" s="5"/>
      <c r="L870" s="5"/>
    </row>
    <row r="871" ht="35.25" customHeight="1">
      <c r="A871" s="5">
        <v>870.0</v>
      </c>
      <c r="B871" s="14" t="s">
        <v>1714</v>
      </c>
      <c r="C871" s="6" t="str">
        <f>IFERROR(__xludf.DUMMYFUNCTION("REGEXEXTRACT(B871, ""^[A-Z0-9-]+"")"),"ME-310P")</f>
        <v>ME-310P</v>
      </c>
      <c r="D871" s="14" t="s">
        <v>1715</v>
      </c>
      <c r="E871" s="15" t="s">
        <v>10</v>
      </c>
      <c r="F871" s="14" t="s">
        <v>385</v>
      </c>
      <c r="G871" s="8" t="s">
        <v>30</v>
      </c>
      <c r="H871" s="5" t="str">
        <f>IFERROR(__xludf.DUMMYFUNCTION("REGEXEXTRACT(B871, ""\((\d+)\)"")"),"2")</f>
        <v>2</v>
      </c>
      <c r="I871" s="5"/>
      <c r="J871" s="5"/>
      <c r="K871" s="5"/>
      <c r="L871" s="5"/>
    </row>
    <row r="872" ht="35.25" customHeight="1">
      <c r="A872" s="5">
        <v>871.0</v>
      </c>
      <c r="B872" s="14" t="s">
        <v>1716</v>
      </c>
      <c r="C872" s="6" t="str">
        <f>IFERROR(__xludf.DUMMYFUNCTION("REGEXEXTRACT(B872, ""^[A-Z0-9-]+"")"),"ME-311P")</f>
        <v>ME-311P</v>
      </c>
      <c r="D872" s="14" t="s">
        <v>1717</v>
      </c>
      <c r="E872" s="15" t="s">
        <v>10</v>
      </c>
      <c r="F872" s="14" t="s">
        <v>82</v>
      </c>
      <c r="G872" s="8" t="s">
        <v>33</v>
      </c>
      <c r="H872" s="5" t="str">
        <f>IFERROR(__xludf.DUMMYFUNCTION("REGEXEXTRACT(B872, ""\((\d+)\)"")"),"1")</f>
        <v>1</v>
      </c>
      <c r="I872" s="5"/>
      <c r="J872" s="5"/>
      <c r="K872" s="5"/>
      <c r="L872" s="5"/>
    </row>
    <row r="873" ht="35.25" customHeight="1">
      <c r="A873" s="5">
        <v>872.0</v>
      </c>
      <c r="B873" s="14" t="s">
        <v>1718</v>
      </c>
      <c r="C873" s="6" t="str">
        <f>IFERROR(__xludf.DUMMYFUNCTION("REGEXEXTRACT(B873, ""^[A-Z0-9-]+"")"),"ME-312P")</f>
        <v>ME-312P</v>
      </c>
      <c r="D873" s="14" t="s">
        <v>1719</v>
      </c>
      <c r="E873" s="15" t="s">
        <v>10</v>
      </c>
      <c r="F873" s="14" t="s">
        <v>82</v>
      </c>
      <c r="G873" s="8" t="s">
        <v>36</v>
      </c>
      <c r="H873" s="5" t="str">
        <f>IFERROR(__xludf.DUMMYFUNCTION("REGEXEXTRACT(B873, ""\((\d+)\)"")"),"1")</f>
        <v>1</v>
      </c>
      <c r="I873" s="5"/>
      <c r="J873" s="5"/>
      <c r="K873" s="5"/>
      <c r="L873" s="5"/>
    </row>
    <row r="874" ht="35.25" customHeight="1">
      <c r="A874" s="5">
        <v>873.0</v>
      </c>
      <c r="B874" s="11" t="s">
        <v>1720</v>
      </c>
      <c r="C874" s="6" t="str">
        <f>IFERROR(__xludf.DUMMYFUNCTION("REGEXEXTRACT(B874, ""^[A-Z0-9-]+"")"),"ME-315")</f>
        <v>ME-315</v>
      </c>
      <c r="D874" s="11" t="s">
        <v>1721</v>
      </c>
      <c r="E874" s="25" t="s">
        <v>10</v>
      </c>
      <c r="F874" s="11" t="s">
        <v>19</v>
      </c>
      <c r="G874" s="8" t="s">
        <v>39</v>
      </c>
      <c r="H874" s="5" t="str">
        <f>IFERROR(__xludf.DUMMYFUNCTION("REGEXEXTRACT(B874, ""\((\d+)\)"")"),"3")</f>
        <v>3</v>
      </c>
      <c r="I874" s="5"/>
      <c r="J874" s="5"/>
      <c r="K874" s="5"/>
      <c r="L874" s="5"/>
    </row>
    <row r="875" ht="35.25" customHeight="1">
      <c r="A875" s="5">
        <v>874.0</v>
      </c>
      <c r="B875" s="22" t="s">
        <v>1722</v>
      </c>
      <c r="C875" s="6" t="str">
        <f>IFERROR(__xludf.DUMMYFUNCTION("REGEXEXTRACT(B875, ""^[A-Z0-9-]+"")"),"ME-316")</f>
        <v>ME-316</v>
      </c>
      <c r="D875" s="22" t="s">
        <v>1723</v>
      </c>
      <c r="E875" s="23" t="s">
        <v>87</v>
      </c>
      <c r="F875" s="22" t="s">
        <v>19</v>
      </c>
      <c r="G875" s="8" t="s">
        <v>12</v>
      </c>
      <c r="H875" s="5" t="str">
        <f>IFERROR(__xludf.DUMMYFUNCTION("REGEXEXTRACT(B875, ""\((\d+)\)"")"),"3")</f>
        <v>3</v>
      </c>
      <c r="I875" s="5"/>
      <c r="J875" s="5"/>
      <c r="K875" s="5"/>
      <c r="L875" s="5"/>
    </row>
    <row r="876" ht="35.25" customHeight="1">
      <c r="A876" s="5">
        <v>875.0</v>
      </c>
      <c r="B876" s="14" t="s">
        <v>1724</v>
      </c>
      <c r="C876" s="6" t="str">
        <f>IFERROR(__xludf.DUMMYFUNCTION("REGEXEXTRACT(B876, ""^[A-Z0-9-]+"")"),"ME-351")</f>
        <v>ME-351</v>
      </c>
      <c r="D876" s="14" t="s">
        <v>1725</v>
      </c>
      <c r="E876" s="15" t="s">
        <v>10</v>
      </c>
      <c r="F876" s="14" t="s">
        <v>19</v>
      </c>
      <c r="G876" s="8" t="s">
        <v>16</v>
      </c>
      <c r="H876" s="5" t="str">
        <f>IFERROR(__xludf.DUMMYFUNCTION("REGEXEXTRACT(B876, ""\((\d+)\)"")"),"3")</f>
        <v>3</v>
      </c>
      <c r="I876" s="5"/>
      <c r="J876" s="5"/>
      <c r="K876" s="5"/>
      <c r="L876" s="5"/>
    </row>
    <row r="877" ht="35.25" customHeight="1">
      <c r="A877" s="5">
        <v>876.0</v>
      </c>
      <c r="B877" s="14" t="s">
        <v>1726</v>
      </c>
      <c r="C877" s="6" t="str">
        <f>IFERROR(__xludf.DUMMYFUNCTION("REGEXEXTRACT(B877, ""^[A-Z0-9-]+"")"),"ME-352")</f>
        <v>ME-352</v>
      </c>
      <c r="D877" s="14" t="s">
        <v>1727</v>
      </c>
      <c r="E877" s="15" t="s">
        <v>10</v>
      </c>
      <c r="F877" s="14" t="s">
        <v>713</v>
      </c>
      <c r="G877" s="8" t="s">
        <v>20</v>
      </c>
      <c r="H877" s="5" t="str">
        <f>IFERROR(__xludf.DUMMYFUNCTION("REGEXEXTRACT(B877, ""\((\d+)\)"")"),"3")</f>
        <v>3</v>
      </c>
      <c r="I877" s="5"/>
      <c r="J877" s="5"/>
      <c r="K877" s="5"/>
      <c r="L877" s="5"/>
    </row>
    <row r="878" ht="35.25" customHeight="1">
      <c r="A878" s="5">
        <v>877.0</v>
      </c>
      <c r="B878" s="14" t="s">
        <v>1728</v>
      </c>
      <c r="C878" s="6" t="str">
        <f>IFERROR(__xludf.DUMMYFUNCTION("REGEXEXTRACT(B878, ""^[A-Z0-9-]+"")"),"ME-353")</f>
        <v>ME-353</v>
      </c>
      <c r="D878" s="14" t="s">
        <v>1729</v>
      </c>
      <c r="E878" s="15" t="s">
        <v>10</v>
      </c>
      <c r="F878" s="14" t="s">
        <v>19</v>
      </c>
      <c r="G878" s="8" t="s">
        <v>24</v>
      </c>
      <c r="H878" s="5" t="str">
        <f>IFERROR(__xludf.DUMMYFUNCTION("REGEXEXTRACT(B878, ""\((\d+)\)"")"),"3")</f>
        <v>3</v>
      </c>
      <c r="I878" s="5"/>
      <c r="J878" s="5"/>
      <c r="K878" s="5"/>
      <c r="L878" s="5"/>
    </row>
    <row r="879" ht="35.25" customHeight="1">
      <c r="A879" s="5">
        <v>878.0</v>
      </c>
      <c r="B879" s="14" t="s">
        <v>1730</v>
      </c>
      <c r="C879" s="6" t="str">
        <f>IFERROR(__xludf.DUMMYFUNCTION("REGEXEXTRACT(B879, ""^[A-Z0-9-]+"")"),"ME-355")</f>
        <v>ME-355</v>
      </c>
      <c r="D879" s="14" t="s">
        <v>1731</v>
      </c>
      <c r="E879" s="15" t="s">
        <v>10</v>
      </c>
      <c r="F879" s="14" t="s">
        <v>19</v>
      </c>
      <c r="G879" s="8" t="s">
        <v>27</v>
      </c>
      <c r="H879" s="5" t="str">
        <f>IFERROR(__xludf.DUMMYFUNCTION("REGEXEXTRACT(B879, ""\((\d+)\)"")"),"3")</f>
        <v>3</v>
      </c>
      <c r="I879" s="5"/>
      <c r="J879" s="5"/>
      <c r="K879" s="5"/>
      <c r="L879" s="5"/>
    </row>
    <row r="880" ht="35.25" customHeight="1">
      <c r="A880" s="5">
        <v>879.0</v>
      </c>
      <c r="B880" s="14" t="s">
        <v>1732</v>
      </c>
      <c r="C880" s="6" t="str">
        <f>IFERROR(__xludf.DUMMYFUNCTION("REGEXEXTRACT(B880, ""^[A-Z0-9-]+"")"),"ME-356")</f>
        <v>ME-356</v>
      </c>
      <c r="D880" s="14" t="s">
        <v>1701</v>
      </c>
      <c r="E880" s="15" t="s">
        <v>10</v>
      </c>
      <c r="F880" s="14" t="s">
        <v>11</v>
      </c>
      <c r="G880" s="8" t="s">
        <v>30</v>
      </c>
      <c r="H880" s="5" t="str">
        <f>IFERROR(__xludf.DUMMYFUNCTION("REGEXEXTRACT(B880, ""\((\d+)\)"")"),"4")</f>
        <v>4</v>
      </c>
      <c r="I880" s="5"/>
      <c r="J880" s="5"/>
      <c r="K880" s="5"/>
      <c r="L880" s="5"/>
    </row>
    <row r="881" ht="35.25" customHeight="1">
      <c r="A881" s="5">
        <v>880.0</v>
      </c>
      <c r="B881" s="14" t="s">
        <v>1733</v>
      </c>
      <c r="C881" s="6" t="str">
        <f>IFERROR(__xludf.DUMMYFUNCTION("REGEXEXTRACT(B881, ""^[A-Z0-9-]+"")"),"ME-451")</f>
        <v>ME-451</v>
      </c>
      <c r="D881" s="14" t="s">
        <v>1734</v>
      </c>
      <c r="E881" s="15" t="s">
        <v>10</v>
      </c>
      <c r="F881" s="14" t="s">
        <v>19</v>
      </c>
      <c r="G881" s="8" t="s">
        <v>33</v>
      </c>
      <c r="H881" s="5" t="str">
        <f>IFERROR(__xludf.DUMMYFUNCTION("REGEXEXTRACT(B881, ""\((\d+)\)"")"),"3")</f>
        <v>3</v>
      </c>
      <c r="I881" s="5"/>
      <c r="J881" s="5"/>
      <c r="K881" s="5"/>
      <c r="L881" s="5"/>
    </row>
    <row r="882" ht="35.25" customHeight="1">
      <c r="A882" s="5">
        <v>881.0</v>
      </c>
      <c r="B882" s="14" t="s">
        <v>1735</v>
      </c>
      <c r="C882" s="6" t="str">
        <f>IFERROR(__xludf.DUMMYFUNCTION("REGEXEXTRACT(B882, ""^[A-Z0-9-]+"")"),"ME-452")</f>
        <v>ME-452</v>
      </c>
      <c r="D882" s="14" t="s">
        <v>1736</v>
      </c>
      <c r="E882" s="15" t="s">
        <v>10</v>
      </c>
      <c r="F882" s="14" t="s">
        <v>237</v>
      </c>
      <c r="G882" s="8" t="s">
        <v>36</v>
      </c>
      <c r="H882" s="5" t="str">
        <f>IFERROR(__xludf.DUMMYFUNCTION("REGEXEXTRACT(B882, ""\((\d+)\)"")"),"3")</f>
        <v>3</v>
      </c>
      <c r="I882" s="5"/>
      <c r="J882" s="5"/>
      <c r="K882" s="5"/>
      <c r="L882" s="5"/>
    </row>
    <row r="883" ht="35.25" customHeight="1">
      <c r="A883" s="5">
        <v>882.0</v>
      </c>
      <c r="B883" s="14" t="s">
        <v>1737</v>
      </c>
      <c r="C883" s="6" t="str">
        <f>IFERROR(__xludf.DUMMYFUNCTION("REGEXEXTRACT(B883, ""^[A-Z0-9-]+"")"),"ME-501")</f>
        <v>ME-501</v>
      </c>
      <c r="D883" s="14" t="s">
        <v>1738</v>
      </c>
      <c r="E883" s="15" t="s">
        <v>10</v>
      </c>
      <c r="F883" s="14" t="s">
        <v>19</v>
      </c>
      <c r="G883" s="8" t="s">
        <v>39</v>
      </c>
      <c r="H883" s="5" t="str">
        <f>IFERROR(__xludf.DUMMYFUNCTION("REGEXEXTRACT(B883, ""\((\d+)\)"")"),"3")</f>
        <v>3</v>
      </c>
      <c r="I883" s="5"/>
      <c r="J883" s="5"/>
      <c r="K883" s="5"/>
      <c r="L883" s="5"/>
    </row>
    <row r="884" ht="35.25" customHeight="1">
      <c r="A884" s="5">
        <v>883.0</v>
      </c>
      <c r="B884" s="14" t="s">
        <v>1737</v>
      </c>
      <c r="C884" s="6" t="str">
        <f>IFERROR(__xludf.DUMMYFUNCTION("REGEXEXTRACT(B884, ""^[A-Z0-9-]+"")"),"ME-501")</f>
        <v>ME-501</v>
      </c>
      <c r="D884" s="14" t="s">
        <v>1738</v>
      </c>
      <c r="E884" s="15" t="s">
        <v>10</v>
      </c>
      <c r="F884" s="14" t="s">
        <v>19</v>
      </c>
      <c r="G884" s="8" t="s">
        <v>12</v>
      </c>
      <c r="H884" s="5" t="str">
        <f>IFERROR(__xludf.DUMMYFUNCTION("REGEXEXTRACT(B884, ""\((\d+)\)"")"),"3")</f>
        <v>3</v>
      </c>
      <c r="I884" s="5"/>
      <c r="J884" s="5"/>
      <c r="K884" s="5"/>
      <c r="L884" s="5"/>
    </row>
    <row r="885" ht="35.25" customHeight="1">
      <c r="A885" s="5">
        <v>884.0</v>
      </c>
      <c r="B885" s="14" t="s">
        <v>1737</v>
      </c>
      <c r="C885" s="6" t="str">
        <f>IFERROR(__xludf.DUMMYFUNCTION("REGEXEXTRACT(B885, ""^[A-Z0-9-]+"")"),"ME-501")</f>
        <v>ME-501</v>
      </c>
      <c r="D885" s="14" t="s">
        <v>1739</v>
      </c>
      <c r="E885" s="15" t="s">
        <v>10</v>
      </c>
      <c r="F885" s="14" t="s">
        <v>19</v>
      </c>
      <c r="G885" s="8" t="s">
        <v>16</v>
      </c>
      <c r="H885" s="5" t="str">
        <f>IFERROR(__xludf.DUMMYFUNCTION("REGEXEXTRACT(B885, ""\((\d+)\)"")"),"3")</f>
        <v>3</v>
      </c>
      <c r="I885" s="5"/>
      <c r="J885" s="5"/>
      <c r="K885" s="5"/>
      <c r="L885" s="5"/>
    </row>
    <row r="886" ht="35.25" customHeight="1">
      <c r="A886" s="5">
        <v>885.0</v>
      </c>
      <c r="B886" s="14" t="s">
        <v>1740</v>
      </c>
      <c r="C886" s="6" t="str">
        <f>IFERROR(__xludf.DUMMYFUNCTION("REGEXEXTRACT(B886, ""^[A-Z0-9-]+"")"),"ME")</f>
        <v>ME</v>
      </c>
      <c r="D886" s="14" t="s">
        <v>1741</v>
      </c>
      <c r="E886" s="15" t="s">
        <v>10</v>
      </c>
      <c r="F886" s="14" t="s">
        <v>345</v>
      </c>
      <c r="G886" s="8" t="s">
        <v>20</v>
      </c>
      <c r="H886" s="5" t="str">
        <f>IFERROR(__xludf.DUMMYFUNCTION("REGEXEXTRACT(B886, ""\((\d+)\)"")"),"3")</f>
        <v>3</v>
      </c>
      <c r="I886" s="5"/>
      <c r="J886" s="5"/>
      <c r="K886" s="5"/>
      <c r="L886" s="5"/>
    </row>
    <row r="887" ht="35.25" customHeight="1">
      <c r="A887" s="5">
        <v>886.0</v>
      </c>
      <c r="B887" s="14" t="s">
        <v>1742</v>
      </c>
      <c r="C887" s="6" t="str">
        <f>IFERROR(__xludf.DUMMYFUNCTION("REGEXEXTRACT(B887, ""^[A-Z0-9-]+"")"),"ME-502")</f>
        <v>ME-502</v>
      </c>
      <c r="D887" s="14" t="s">
        <v>1739</v>
      </c>
      <c r="E887" s="15" t="s">
        <v>10</v>
      </c>
      <c r="F887" s="14" t="s">
        <v>19</v>
      </c>
      <c r="G887" s="8" t="s">
        <v>24</v>
      </c>
      <c r="H887" s="5" t="str">
        <f>IFERROR(__xludf.DUMMYFUNCTION("REGEXEXTRACT(B887, ""\((\d+)\)"")"),"3")</f>
        <v>3</v>
      </c>
      <c r="I887" s="5"/>
      <c r="J887" s="5"/>
      <c r="K887" s="5"/>
      <c r="L887" s="5"/>
    </row>
    <row r="888" ht="35.25" customHeight="1">
      <c r="A888" s="5">
        <v>887.0</v>
      </c>
      <c r="B888" s="14" t="s">
        <v>1742</v>
      </c>
      <c r="C888" s="6" t="str">
        <f>IFERROR(__xludf.DUMMYFUNCTION("REGEXEXTRACT(B888, ""^[A-Z0-9-]+"")"),"ME-502")</f>
        <v>ME-502</v>
      </c>
      <c r="D888" s="14" t="s">
        <v>1743</v>
      </c>
      <c r="E888" s="15" t="s">
        <v>10</v>
      </c>
      <c r="F888" s="14" t="s">
        <v>19</v>
      </c>
      <c r="G888" s="8" t="s">
        <v>27</v>
      </c>
      <c r="H888" s="5" t="str">
        <f>IFERROR(__xludf.DUMMYFUNCTION("REGEXEXTRACT(B888, ""\((\d+)\)"")"),"3")</f>
        <v>3</v>
      </c>
      <c r="I888" s="5"/>
      <c r="J888" s="5"/>
      <c r="K888" s="5"/>
      <c r="L888" s="5"/>
    </row>
    <row r="889" ht="35.25" customHeight="1">
      <c r="A889" s="5">
        <v>888.0</v>
      </c>
      <c r="B889" s="14" t="s">
        <v>1744</v>
      </c>
      <c r="C889" s="6" t="str">
        <f>IFERROR(__xludf.DUMMYFUNCTION("REGEXEXTRACT(B889, ""^[A-Z0-9-]+"")"),"ME-504")</f>
        <v>ME-504</v>
      </c>
      <c r="D889" s="14" t="s">
        <v>1745</v>
      </c>
      <c r="E889" s="15" t="s">
        <v>10</v>
      </c>
      <c r="F889" s="14" t="s">
        <v>19</v>
      </c>
      <c r="G889" s="8" t="s">
        <v>30</v>
      </c>
      <c r="H889" s="5" t="str">
        <f>IFERROR(__xludf.DUMMYFUNCTION("REGEXEXTRACT(B889, ""\((\d+)\)"")"),"3")</f>
        <v>3</v>
      </c>
      <c r="I889" s="5"/>
      <c r="J889" s="5"/>
      <c r="K889" s="5"/>
      <c r="L889" s="5"/>
    </row>
    <row r="890" ht="35.25" customHeight="1">
      <c r="A890" s="5">
        <v>889.0</v>
      </c>
      <c r="B890" s="14" t="s">
        <v>1746</v>
      </c>
      <c r="C890" s="6" t="str">
        <f>IFERROR(__xludf.DUMMYFUNCTION("REGEXEXTRACT(B890, ""^[A-Z0-9-]+"")"),"ME-505")</f>
        <v>ME-505</v>
      </c>
      <c r="D890" s="14" t="s">
        <v>1747</v>
      </c>
      <c r="E890" s="15" t="s">
        <v>10</v>
      </c>
      <c r="F890" s="14" t="s">
        <v>23</v>
      </c>
      <c r="G890" s="8" t="s">
        <v>33</v>
      </c>
      <c r="H890" s="5" t="str">
        <f>IFERROR(__xludf.DUMMYFUNCTION("REGEXEXTRACT(B890, ""\((\d+)\)"")"),"3")</f>
        <v>3</v>
      </c>
      <c r="I890" s="5"/>
      <c r="J890" s="5"/>
      <c r="K890" s="5"/>
      <c r="L890" s="5"/>
    </row>
    <row r="891" ht="35.25" customHeight="1">
      <c r="A891" s="5">
        <v>890.0</v>
      </c>
      <c r="B891" s="14" t="s">
        <v>1748</v>
      </c>
      <c r="C891" s="6" t="str">
        <f>IFERROR(__xludf.DUMMYFUNCTION("REGEXEXTRACT(B891, ""^[A-Z0-9-]+"")"),"ME-506")</f>
        <v>ME-506</v>
      </c>
      <c r="D891" s="14" t="s">
        <v>1749</v>
      </c>
      <c r="E891" s="15" t="s">
        <v>10</v>
      </c>
      <c r="F891" s="14" t="s">
        <v>713</v>
      </c>
      <c r="G891" s="8" t="s">
        <v>36</v>
      </c>
      <c r="H891" s="5" t="str">
        <f>IFERROR(__xludf.DUMMYFUNCTION("REGEXEXTRACT(B891, ""\((\d+)\)"")"),"3")</f>
        <v>3</v>
      </c>
      <c r="I891" s="5"/>
      <c r="J891" s="5"/>
      <c r="K891" s="5"/>
      <c r="L891" s="5"/>
    </row>
    <row r="892" ht="35.25" customHeight="1">
      <c r="A892" s="5">
        <v>891.0</v>
      </c>
      <c r="B892" s="14" t="s">
        <v>1750</v>
      </c>
      <c r="C892" s="6" t="str">
        <f>IFERROR(__xludf.DUMMYFUNCTION("REGEXEXTRACT(B892, ""^[A-Z0-9-]+"")"),"ME-507")</f>
        <v>ME-507</v>
      </c>
      <c r="D892" s="14" t="s">
        <v>1751</v>
      </c>
      <c r="E892" s="15" t="s">
        <v>10</v>
      </c>
      <c r="F892" s="14" t="s">
        <v>19</v>
      </c>
      <c r="G892" s="8" t="s">
        <v>39</v>
      </c>
      <c r="H892" s="5" t="str">
        <f>IFERROR(__xludf.DUMMYFUNCTION("REGEXEXTRACT(B892, ""\((\d+)\)"")"),"3")</f>
        <v>3</v>
      </c>
      <c r="I892" s="5"/>
      <c r="J892" s="5"/>
      <c r="K892" s="5"/>
      <c r="L892" s="5"/>
    </row>
    <row r="893" ht="35.25" customHeight="1">
      <c r="A893" s="5">
        <v>892.0</v>
      </c>
      <c r="B893" s="14" t="s">
        <v>1752</v>
      </c>
      <c r="C893" s="6" t="str">
        <f>IFERROR(__xludf.DUMMYFUNCTION("REGEXEXTRACT(B893, ""^[A-Z0-9-]+"")"),"ME-509")</f>
        <v>ME-509</v>
      </c>
      <c r="D893" s="14" t="s">
        <v>1739</v>
      </c>
      <c r="E893" s="15" t="s">
        <v>10</v>
      </c>
      <c r="F893" s="14" t="s">
        <v>19</v>
      </c>
      <c r="G893" s="8" t="s">
        <v>12</v>
      </c>
      <c r="H893" s="5" t="str">
        <f>IFERROR(__xludf.DUMMYFUNCTION("REGEXEXTRACT(B893, ""\((\d+)\)"")"),"3")</f>
        <v>3</v>
      </c>
      <c r="I893" s="5"/>
      <c r="J893" s="5"/>
      <c r="K893" s="5"/>
      <c r="L893" s="5"/>
    </row>
    <row r="894" ht="35.25" customHeight="1">
      <c r="A894" s="5">
        <v>893.0</v>
      </c>
      <c r="B894" s="14" t="s">
        <v>1753</v>
      </c>
      <c r="C894" s="6" t="str">
        <f>IFERROR(__xludf.DUMMYFUNCTION("REGEXEXTRACT(B894, ""^[A-Z0-9-]+"")"),"ME")</f>
        <v>ME</v>
      </c>
      <c r="D894" s="14" t="s">
        <v>1754</v>
      </c>
      <c r="E894" s="15" t="s">
        <v>10</v>
      </c>
      <c r="F894" s="14" t="s">
        <v>19</v>
      </c>
      <c r="G894" s="8" t="s">
        <v>16</v>
      </c>
      <c r="H894" s="5" t="str">
        <f>IFERROR(__xludf.DUMMYFUNCTION("REGEXEXTRACT(B894, ""\((\d+)\)"")"),"3")</f>
        <v>3</v>
      </c>
      <c r="I894" s="5"/>
      <c r="J894" s="5"/>
      <c r="K894" s="5"/>
      <c r="L894" s="5"/>
    </row>
    <row r="895" ht="35.25" customHeight="1">
      <c r="A895" s="5">
        <v>894.0</v>
      </c>
      <c r="B895" s="6" t="s">
        <v>1755</v>
      </c>
      <c r="C895" s="6" t="str">
        <f>IFERROR(__xludf.DUMMYFUNCTION("REGEXEXTRACT(B895, ""^[A-Z0-9-]+"")"),"ME-511")</f>
        <v>ME-511</v>
      </c>
      <c r="D895" s="6" t="s">
        <v>1756</v>
      </c>
      <c r="E895" s="7" t="s">
        <v>10</v>
      </c>
      <c r="F895" s="6" t="s">
        <v>19</v>
      </c>
      <c r="G895" s="8" t="s">
        <v>20</v>
      </c>
      <c r="H895" s="5" t="str">
        <f>IFERROR(__xludf.DUMMYFUNCTION("REGEXEXTRACT(B895, ""\((\d+)\)"")"),"3")</f>
        <v>3</v>
      </c>
      <c r="I895" s="5"/>
      <c r="J895" s="5"/>
      <c r="K895" s="5"/>
      <c r="L895" s="5"/>
    </row>
    <row r="896" ht="35.25" customHeight="1">
      <c r="A896" s="5">
        <v>895.0</v>
      </c>
      <c r="B896" s="14" t="s">
        <v>1757</v>
      </c>
      <c r="C896" s="6" t="str">
        <f>IFERROR(__xludf.DUMMYFUNCTION("REGEXEXTRACT(B896, ""^[A-Z0-9-]+"")"),"ME")</f>
        <v>ME</v>
      </c>
      <c r="D896" s="14" t="s">
        <v>1758</v>
      </c>
      <c r="E896" s="15" t="s">
        <v>10</v>
      </c>
      <c r="F896" s="14" t="s">
        <v>15</v>
      </c>
      <c r="G896" s="8" t="s">
        <v>24</v>
      </c>
      <c r="H896" s="5" t="str">
        <f>IFERROR(__xludf.DUMMYFUNCTION("REGEXEXTRACT(B896, ""\((\d+)\)"")"),"4")</f>
        <v>4</v>
      </c>
      <c r="I896" s="5"/>
      <c r="J896" s="5"/>
      <c r="K896" s="5"/>
      <c r="L896" s="5"/>
    </row>
    <row r="897" ht="35.25" customHeight="1">
      <c r="A897" s="5">
        <v>896.0</v>
      </c>
      <c r="B897" s="14" t="s">
        <v>1759</v>
      </c>
      <c r="C897" s="6" t="str">
        <f>IFERROR(__xludf.DUMMYFUNCTION("REGEXEXTRACT(B897, ""^[A-Z0-9-]+"")"),"ME")</f>
        <v>ME</v>
      </c>
      <c r="D897" s="14" t="s">
        <v>1760</v>
      </c>
      <c r="E897" s="15" t="s">
        <v>10</v>
      </c>
      <c r="F897" s="14" t="s">
        <v>19</v>
      </c>
      <c r="G897" s="8" t="s">
        <v>27</v>
      </c>
      <c r="H897" s="5" t="str">
        <f>IFERROR(__xludf.DUMMYFUNCTION("REGEXEXTRACT(B897, ""\((\d+)\)"")"),"3")</f>
        <v>3</v>
      </c>
      <c r="I897" s="5"/>
      <c r="J897" s="5"/>
      <c r="K897" s="5"/>
      <c r="L897" s="5"/>
    </row>
    <row r="898" ht="35.25" customHeight="1">
      <c r="A898" s="5">
        <v>897.0</v>
      </c>
      <c r="B898" s="14" t="s">
        <v>1761</v>
      </c>
      <c r="C898" s="6" t="str">
        <f>IFERROR(__xludf.DUMMYFUNCTION("REGEXEXTRACT(B898, ""^[A-Z0-9-]+"")"),"ME")</f>
        <v>ME</v>
      </c>
      <c r="D898" s="14" t="s">
        <v>1762</v>
      </c>
      <c r="E898" s="15" t="s">
        <v>10</v>
      </c>
      <c r="F898" s="14" t="s">
        <v>19</v>
      </c>
      <c r="G898" s="8" t="s">
        <v>30</v>
      </c>
      <c r="H898" s="5" t="str">
        <f>IFERROR(__xludf.DUMMYFUNCTION("REGEXEXTRACT(B898, ""\((\d+)\)"")"),"3")</f>
        <v>3</v>
      </c>
      <c r="I898" s="5"/>
      <c r="J898" s="5"/>
      <c r="K898" s="5"/>
      <c r="L898" s="5"/>
    </row>
    <row r="899" ht="35.25" customHeight="1">
      <c r="A899" s="5">
        <v>898.0</v>
      </c>
      <c r="B899" s="14" t="s">
        <v>1763</v>
      </c>
      <c r="C899" s="6" t="str">
        <f>IFERROR(__xludf.DUMMYFUNCTION("REGEXEXTRACT(B899, ""^[A-Z0-9-]+"")"),"ME")</f>
        <v>ME</v>
      </c>
      <c r="D899" s="14" t="s">
        <v>1764</v>
      </c>
      <c r="E899" s="15" t="s">
        <v>10</v>
      </c>
      <c r="F899" s="14" t="s">
        <v>19</v>
      </c>
      <c r="G899" s="8" t="s">
        <v>33</v>
      </c>
      <c r="H899" s="5" t="str">
        <f>IFERROR(__xludf.DUMMYFUNCTION("REGEXEXTRACT(B899, ""\((\d+)\)"")"),"3")</f>
        <v>3</v>
      </c>
      <c r="I899" s="5"/>
      <c r="J899" s="5"/>
      <c r="K899" s="5"/>
      <c r="L899" s="5"/>
    </row>
    <row r="900" ht="35.25" customHeight="1">
      <c r="A900" s="5">
        <v>899.0</v>
      </c>
      <c r="B900" s="14" t="s">
        <v>1765</v>
      </c>
      <c r="C900" s="6" t="str">
        <f>IFERROR(__xludf.DUMMYFUNCTION("REGEXEXTRACT(B900, ""^[A-Z0-9-]+"")"),"ME")</f>
        <v>ME</v>
      </c>
      <c r="D900" s="14" t="s">
        <v>1766</v>
      </c>
      <c r="E900" s="15" t="s">
        <v>10</v>
      </c>
      <c r="F900" s="14" t="s">
        <v>11</v>
      </c>
      <c r="G900" s="8" t="s">
        <v>36</v>
      </c>
      <c r="H900" s="5" t="str">
        <f>IFERROR(__xludf.DUMMYFUNCTION("REGEXEXTRACT(B900, ""\((\d+)\)"")"),"4")</f>
        <v>4</v>
      </c>
      <c r="I900" s="5"/>
      <c r="J900" s="5"/>
      <c r="K900" s="5"/>
      <c r="L900" s="5"/>
    </row>
    <row r="901" ht="35.25" customHeight="1">
      <c r="A901" s="5">
        <v>900.0</v>
      </c>
      <c r="B901" s="14" t="s">
        <v>1767</v>
      </c>
      <c r="C901" s="6" t="str">
        <f>IFERROR(__xludf.DUMMYFUNCTION("REGEXEXTRACT(B901, ""^[A-Z0-9-]+"")"),"ME")</f>
        <v>ME</v>
      </c>
      <c r="D901" s="14" t="s">
        <v>1768</v>
      </c>
      <c r="E901" s="15" t="s">
        <v>10</v>
      </c>
      <c r="F901" s="14" t="s">
        <v>19</v>
      </c>
      <c r="G901" s="8" t="s">
        <v>39</v>
      </c>
      <c r="H901" s="5" t="str">
        <f>IFERROR(__xludf.DUMMYFUNCTION("REGEXEXTRACT(B901, ""\((\d+)\)"")"),"3")</f>
        <v>3</v>
      </c>
      <c r="I901" s="5"/>
      <c r="J901" s="5"/>
      <c r="K901" s="5"/>
      <c r="L901" s="5"/>
    </row>
    <row r="902" ht="35.25" customHeight="1">
      <c r="A902" s="5">
        <v>901.0</v>
      </c>
      <c r="B902" s="14" t="s">
        <v>1769</v>
      </c>
      <c r="C902" s="6" t="str">
        <f>IFERROR(__xludf.DUMMYFUNCTION("REGEXEXTRACT(B902, ""^[A-Z0-9-]+"")"),"ME")</f>
        <v>ME</v>
      </c>
      <c r="D902" s="14" t="s">
        <v>1770</v>
      </c>
      <c r="E902" s="15" t="s">
        <v>10</v>
      </c>
      <c r="F902" s="14" t="s">
        <v>1771</v>
      </c>
      <c r="G902" s="8" t="s">
        <v>12</v>
      </c>
      <c r="H902" s="5" t="str">
        <f>IFERROR(__xludf.DUMMYFUNCTION("REGEXEXTRACT(B902, ""\((\d+)\)"")"),"2")</f>
        <v>2</v>
      </c>
      <c r="I902" s="5"/>
      <c r="J902" s="5"/>
      <c r="K902" s="5"/>
      <c r="L902" s="5"/>
    </row>
    <row r="903" ht="35.25" customHeight="1">
      <c r="A903" s="5">
        <v>902.0</v>
      </c>
      <c r="B903" s="14" t="s">
        <v>1772</v>
      </c>
      <c r="C903" s="6" t="str">
        <f>IFERROR(__xludf.DUMMYFUNCTION("REGEXEXTRACT(B903, ""^[A-Z0-9-]+"")"),"ME")</f>
        <v>ME</v>
      </c>
      <c r="D903" s="14" t="s">
        <v>1773</v>
      </c>
      <c r="E903" s="15" t="s">
        <v>10</v>
      </c>
      <c r="F903" s="14" t="s">
        <v>19</v>
      </c>
      <c r="G903" s="8" t="s">
        <v>16</v>
      </c>
      <c r="H903" s="5" t="str">
        <f>IFERROR(__xludf.DUMMYFUNCTION("REGEXEXTRACT(B903, ""\((\d+)\)"")"),"3")</f>
        <v>3</v>
      </c>
      <c r="I903" s="5"/>
      <c r="J903" s="5"/>
      <c r="K903" s="5"/>
      <c r="L903" s="5"/>
    </row>
    <row r="904" ht="35.25" customHeight="1">
      <c r="A904" s="5">
        <v>903.0</v>
      </c>
      <c r="B904" s="14" t="s">
        <v>1774</v>
      </c>
      <c r="C904" s="6" t="str">
        <f>IFERROR(__xludf.DUMMYFUNCTION("REGEXEXTRACT(B904, ""^[A-Z0-9-]+"")"),"ME")</f>
        <v>ME</v>
      </c>
      <c r="D904" s="14" t="s">
        <v>1775</v>
      </c>
      <c r="E904" s="15" t="s">
        <v>10</v>
      </c>
      <c r="F904" s="14" t="s">
        <v>19</v>
      </c>
      <c r="G904" s="8" t="s">
        <v>20</v>
      </c>
      <c r="H904" s="5" t="str">
        <f>IFERROR(__xludf.DUMMYFUNCTION("REGEXEXTRACT(B904, ""\((\d+)\)"")"),"3")</f>
        <v>3</v>
      </c>
      <c r="I904" s="5"/>
      <c r="J904" s="5"/>
      <c r="K904" s="5"/>
      <c r="L904" s="5"/>
    </row>
    <row r="905" ht="35.25" customHeight="1">
      <c r="A905" s="5">
        <v>904.0</v>
      </c>
      <c r="B905" s="14" t="s">
        <v>1776</v>
      </c>
      <c r="C905" s="6" t="str">
        <f>IFERROR(__xludf.DUMMYFUNCTION("REGEXEXTRACT(B905, ""^[A-Z0-9-]+"")"),"ME-522")</f>
        <v>ME-522</v>
      </c>
      <c r="D905" s="14" t="s">
        <v>1777</v>
      </c>
      <c r="E905" s="15" t="s">
        <v>10</v>
      </c>
      <c r="F905" s="14" t="s">
        <v>450</v>
      </c>
      <c r="G905" s="8" t="s">
        <v>24</v>
      </c>
      <c r="H905" s="5" t="str">
        <f>IFERROR(__xludf.DUMMYFUNCTION("REGEXEXTRACT(B905, ""\((\d+)\)"")"),"3")</f>
        <v>3</v>
      </c>
      <c r="I905" s="5"/>
      <c r="J905" s="5"/>
      <c r="K905" s="5"/>
      <c r="L905" s="5"/>
    </row>
    <row r="906" ht="35.25" customHeight="1">
      <c r="A906" s="5">
        <v>905.0</v>
      </c>
      <c r="B906" s="6" t="s">
        <v>1778</v>
      </c>
      <c r="C906" s="6" t="str">
        <f>IFERROR(__xludf.DUMMYFUNCTION("REGEXEXTRACT(B906, ""^[A-Z0-9-]+"")"),"ME-523")</f>
        <v>ME-523</v>
      </c>
      <c r="D906" s="6" t="s">
        <v>1779</v>
      </c>
      <c r="E906" s="7" t="s">
        <v>10</v>
      </c>
      <c r="F906" s="6" t="s">
        <v>19</v>
      </c>
      <c r="G906" s="8" t="s">
        <v>27</v>
      </c>
      <c r="H906" s="5" t="str">
        <f>IFERROR(__xludf.DUMMYFUNCTION("REGEXEXTRACT(B906, ""\((\d+)\)"")"),"3")</f>
        <v>3</v>
      </c>
      <c r="I906" s="5"/>
      <c r="J906" s="5"/>
      <c r="K906" s="5"/>
      <c r="L906" s="5"/>
    </row>
    <row r="907" ht="35.25" customHeight="1">
      <c r="A907" s="5">
        <v>906.0</v>
      </c>
      <c r="B907" s="6" t="s">
        <v>1780</v>
      </c>
      <c r="C907" s="6" t="str">
        <f>IFERROR(__xludf.DUMMYFUNCTION("REGEXEXTRACT(B907, ""^[A-Z0-9-]+"")"),"ME-524")</f>
        <v>ME-524</v>
      </c>
      <c r="D907" s="6" t="s">
        <v>1781</v>
      </c>
      <c r="E907" s="7" t="s">
        <v>10</v>
      </c>
      <c r="F907" s="6" t="s">
        <v>19</v>
      </c>
      <c r="G907" s="8" t="s">
        <v>30</v>
      </c>
      <c r="H907" s="5" t="str">
        <f>IFERROR(__xludf.DUMMYFUNCTION("REGEXEXTRACT(B907, ""\((\d+)\)"")"),"3")</f>
        <v>3</v>
      </c>
      <c r="I907" s="5"/>
      <c r="J907" s="5"/>
      <c r="K907" s="5"/>
      <c r="L907" s="5"/>
    </row>
    <row r="908" ht="35.25" customHeight="1">
      <c r="A908" s="5">
        <v>907.0</v>
      </c>
      <c r="B908" s="9" t="s">
        <v>1782</v>
      </c>
      <c r="C908" s="6" t="str">
        <f>IFERROR(__xludf.DUMMYFUNCTION("REGEXEXTRACT(B908, ""^[A-Z0-9-]+"")"),"ME-526")</f>
        <v>ME-526</v>
      </c>
      <c r="D908" s="9" t="s">
        <v>1783</v>
      </c>
      <c r="E908" s="10" t="s">
        <v>10</v>
      </c>
      <c r="F908" s="9" t="s">
        <v>23</v>
      </c>
      <c r="G908" s="8" t="s">
        <v>33</v>
      </c>
      <c r="H908" s="5" t="str">
        <f>IFERROR(__xludf.DUMMYFUNCTION("REGEXEXTRACT(B908, ""\((\d+)\)"")"),"3")</f>
        <v>3</v>
      </c>
      <c r="I908" s="5"/>
      <c r="J908" s="5"/>
      <c r="K908" s="5"/>
      <c r="L908" s="5"/>
    </row>
    <row r="909" ht="35.25" customHeight="1">
      <c r="A909" s="5">
        <v>908.0</v>
      </c>
      <c r="B909" s="22" t="s">
        <v>1784</v>
      </c>
      <c r="C909" s="6" t="str">
        <f>IFERROR(__xludf.DUMMYFUNCTION("REGEXEXTRACT(B909, ""^[A-Z0-9-]+"")"),"ME-527")</f>
        <v>ME-527</v>
      </c>
      <c r="D909" s="22" t="s">
        <v>1785</v>
      </c>
      <c r="E909" s="23" t="s">
        <v>87</v>
      </c>
      <c r="F909" s="22" t="s">
        <v>19</v>
      </c>
      <c r="G909" s="8" t="s">
        <v>36</v>
      </c>
      <c r="H909" s="5" t="str">
        <f>IFERROR(__xludf.DUMMYFUNCTION("REGEXEXTRACT(B909, ""\((\d+)\)"")"),"3")</f>
        <v>3</v>
      </c>
      <c r="I909" s="5"/>
      <c r="J909" s="5"/>
      <c r="K909" s="5"/>
      <c r="L909" s="5"/>
    </row>
    <row r="910" ht="35.25" customHeight="1">
      <c r="A910" s="5">
        <v>909.0</v>
      </c>
      <c r="B910" s="6" t="s">
        <v>1786</v>
      </c>
      <c r="C910" s="6" t="str">
        <f>IFERROR(__xludf.DUMMYFUNCTION("REGEXEXTRACT(B910, ""^[A-Z0-9-]+"")"),"ME-591")</f>
        <v>ME-591</v>
      </c>
      <c r="D910" s="6" t="s">
        <v>1787</v>
      </c>
      <c r="E910" s="7" t="s">
        <v>87</v>
      </c>
      <c r="F910" s="6">
        <v>1.0</v>
      </c>
      <c r="G910" s="8" t="s">
        <v>39</v>
      </c>
      <c r="H910" s="5" t="str">
        <f>IFERROR(__xludf.DUMMYFUNCTION("REGEXEXTRACT(B910, ""\((\d+)\)"")"),"1")</f>
        <v>1</v>
      </c>
      <c r="I910" s="5"/>
      <c r="J910" s="5"/>
      <c r="K910" s="5"/>
      <c r="L910" s="5"/>
    </row>
    <row r="911" ht="35.25" customHeight="1">
      <c r="A911" s="5">
        <v>910.0</v>
      </c>
      <c r="B911" s="14" t="s">
        <v>1786</v>
      </c>
      <c r="C911" s="6" t="str">
        <f>IFERROR(__xludf.DUMMYFUNCTION("REGEXEXTRACT(B911, ""^[A-Z0-9-]+"")"),"ME-591")</f>
        <v>ME-591</v>
      </c>
      <c r="D911" s="14" t="s">
        <v>1788</v>
      </c>
      <c r="E911" s="7" t="s">
        <v>87</v>
      </c>
      <c r="F911" s="14">
        <v>1.0</v>
      </c>
      <c r="G911" s="8" t="s">
        <v>12</v>
      </c>
      <c r="H911" s="5" t="str">
        <f>IFERROR(__xludf.DUMMYFUNCTION("REGEXEXTRACT(B911, ""\((\d+)\)"")"),"1")</f>
        <v>1</v>
      </c>
      <c r="I911" s="5"/>
      <c r="J911" s="5"/>
      <c r="K911" s="5"/>
      <c r="L911" s="5"/>
    </row>
    <row r="912" ht="35.25" customHeight="1">
      <c r="A912" s="5">
        <v>911.0</v>
      </c>
      <c r="B912" s="14" t="s">
        <v>1786</v>
      </c>
      <c r="C912" s="6" t="str">
        <f>IFERROR(__xludf.DUMMYFUNCTION("REGEXEXTRACT(B912, ""^[A-Z0-9-]+"")"),"ME-591")</f>
        <v>ME-591</v>
      </c>
      <c r="D912" s="14" t="s">
        <v>1789</v>
      </c>
      <c r="E912" s="7" t="s">
        <v>87</v>
      </c>
      <c r="F912" s="14">
        <v>1.0</v>
      </c>
      <c r="G912" s="8" t="s">
        <v>16</v>
      </c>
      <c r="H912" s="5" t="str">
        <f>IFERROR(__xludf.DUMMYFUNCTION("REGEXEXTRACT(B912, ""\((\d+)\)"")"),"1")</f>
        <v>1</v>
      </c>
      <c r="I912" s="5"/>
      <c r="J912" s="5"/>
      <c r="K912" s="5"/>
      <c r="L912" s="5"/>
    </row>
    <row r="913" ht="35.25" customHeight="1">
      <c r="A913" s="5">
        <v>912.0</v>
      </c>
      <c r="B913" s="6" t="s">
        <v>1790</v>
      </c>
      <c r="C913" s="6" t="str">
        <f>IFERROR(__xludf.DUMMYFUNCTION("REGEXEXTRACT(B913, ""^[A-Z0-9-]+"")"),"ME-591-02")</f>
        <v>ME-591-02</v>
      </c>
      <c r="D913" s="6" t="s">
        <v>1791</v>
      </c>
      <c r="E913" s="7" t="s">
        <v>87</v>
      </c>
      <c r="F913" s="6">
        <v>1.0</v>
      </c>
      <c r="G913" s="8" t="s">
        <v>20</v>
      </c>
      <c r="H913" s="5" t="str">
        <f>IFERROR(__xludf.DUMMYFUNCTION("REGEXEXTRACT(B913, ""\((\d+)\)"")"),"#N/A")</f>
        <v>#N/A</v>
      </c>
      <c r="I913" s="5"/>
      <c r="J913" s="5"/>
      <c r="K913" s="5"/>
      <c r="L913" s="5"/>
    </row>
    <row r="914" ht="35.25" customHeight="1">
      <c r="A914" s="5">
        <v>913.0</v>
      </c>
      <c r="B914" s="14" t="s">
        <v>1792</v>
      </c>
      <c r="C914" s="6" t="str">
        <f>IFERROR(__xludf.DUMMYFUNCTION("REGEXEXTRACT(B914, ""^[A-Z0-9-]+"")"),"ME-592")</f>
        <v>ME-592</v>
      </c>
      <c r="D914" s="14" t="s">
        <v>1793</v>
      </c>
      <c r="E914" s="7" t="s">
        <v>87</v>
      </c>
      <c r="F914" s="14">
        <v>2.0</v>
      </c>
      <c r="G914" s="8" t="s">
        <v>24</v>
      </c>
      <c r="H914" s="5" t="str">
        <f>IFERROR(__xludf.DUMMYFUNCTION("REGEXEXTRACT(B914, ""\((\d+)\)"")"),"2")</f>
        <v>2</v>
      </c>
      <c r="I914" s="5"/>
      <c r="J914" s="5"/>
      <c r="K914" s="5"/>
      <c r="L914" s="5"/>
    </row>
    <row r="915" ht="35.25" customHeight="1">
      <c r="A915" s="5">
        <v>914.0</v>
      </c>
      <c r="B915" s="14" t="s">
        <v>1792</v>
      </c>
      <c r="C915" s="6" t="str">
        <f>IFERROR(__xludf.DUMMYFUNCTION("REGEXEXTRACT(B915, ""^[A-Z0-9-]+"")"),"ME-592")</f>
        <v>ME-592</v>
      </c>
      <c r="D915" s="14" t="s">
        <v>1794</v>
      </c>
      <c r="E915" s="7" t="s">
        <v>87</v>
      </c>
      <c r="F915" s="14">
        <v>2.0</v>
      </c>
      <c r="G915" s="8" t="s">
        <v>27</v>
      </c>
      <c r="H915" s="5" t="str">
        <f>IFERROR(__xludf.DUMMYFUNCTION("REGEXEXTRACT(B915, ""\((\d+)\)"")"),"2")</f>
        <v>2</v>
      </c>
      <c r="I915" s="5"/>
      <c r="J915" s="5"/>
      <c r="K915" s="5"/>
      <c r="L915" s="5"/>
    </row>
    <row r="916" ht="35.25" customHeight="1">
      <c r="A916" s="5">
        <v>915.0</v>
      </c>
      <c r="B916" s="14" t="s">
        <v>1795</v>
      </c>
      <c r="C916" s="6" t="str">
        <f>IFERROR(__xludf.DUMMYFUNCTION("REGEXEXTRACT(B916, ""^[A-Z0-9-]+"")"),"ME-5992")</f>
        <v>ME-5992</v>
      </c>
      <c r="D916" s="14" t="s">
        <v>1796</v>
      </c>
      <c r="E916" s="7" t="s">
        <v>87</v>
      </c>
      <c r="F916" s="14">
        <v>1.0</v>
      </c>
      <c r="G916" s="8" t="s">
        <v>30</v>
      </c>
      <c r="H916" s="5" t="str">
        <f>IFERROR(__xludf.DUMMYFUNCTION("REGEXEXTRACT(B916, ""\((\d+)\)"")"),"1")</f>
        <v>1</v>
      </c>
      <c r="I916" s="5"/>
      <c r="J916" s="5"/>
      <c r="K916" s="5"/>
      <c r="L916" s="5"/>
    </row>
    <row r="917" ht="35.25" customHeight="1">
      <c r="A917" s="5">
        <v>916.0</v>
      </c>
      <c r="B917" s="14" t="s">
        <v>1797</v>
      </c>
      <c r="C917" s="6" t="str">
        <f>IFERROR(__xludf.DUMMYFUNCTION("REGEXEXTRACT(B917, ""^[A-Z0-9-]+"")"),"ME-599")</f>
        <v>ME-599</v>
      </c>
      <c r="D917" s="14" t="s">
        <v>1798</v>
      </c>
      <c r="E917" s="7" t="s">
        <v>87</v>
      </c>
      <c r="F917" s="14">
        <v>1.0</v>
      </c>
      <c r="G917" s="8" t="s">
        <v>33</v>
      </c>
      <c r="H917" s="5" t="str">
        <f>IFERROR(__xludf.DUMMYFUNCTION("REGEXEXTRACT(B917, ""\((\d+)\)"")"),"1")</f>
        <v>1</v>
      </c>
      <c r="I917" s="5"/>
      <c r="J917" s="5"/>
      <c r="K917" s="5"/>
      <c r="L917" s="5"/>
    </row>
    <row r="918" ht="35.25" customHeight="1">
      <c r="A918" s="5">
        <v>917.0</v>
      </c>
      <c r="B918" s="14" t="s">
        <v>1799</v>
      </c>
      <c r="C918" s="6" t="str">
        <f>IFERROR(__xludf.DUMMYFUNCTION("REGEXEXTRACT(B918, ""^[A-Z0-9-]+"")"),"ME")</f>
        <v>ME</v>
      </c>
      <c r="D918" s="14" t="s">
        <v>1800</v>
      </c>
      <c r="E918" s="7" t="s">
        <v>87</v>
      </c>
      <c r="F918" s="14" t="s">
        <v>191</v>
      </c>
      <c r="G918" s="8" t="s">
        <v>36</v>
      </c>
      <c r="H918" s="5" t="str">
        <f>IFERROR(__xludf.DUMMYFUNCTION("REGEXEXTRACT(B918, ""\((\d+)\)"")"),"16")</f>
        <v>16</v>
      </c>
      <c r="I918" s="5"/>
      <c r="J918" s="5"/>
      <c r="K918" s="5"/>
      <c r="L918" s="5"/>
    </row>
    <row r="919" ht="35.25" customHeight="1">
      <c r="A919" s="5">
        <v>918.0</v>
      </c>
      <c r="B919" s="14" t="s">
        <v>1801</v>
      </c>
      <c r="C919" s="6" t="str">
        <f>IFERROR(__xludf.DUMMYFUNCTION("REGEXEXTRACT(B919, ""^[A-Z0-9-]+"")"),"ME")</f>
        <v>ME</v>
      </c>
      <c r="D919" s="14" t="s">
        <v>1802</v>
      </c>
      <c r="E919" s="7" t="s">
        <v>87</v>
      </c>
      <c r="F919" s="14">
        <v>16.0</v>
      </c>
      <c r="G919" s="8" t="s">
        <v>39</v>
      </c>
      <c r="H919" s="5" t="str">
        <f>IFERROR(__xludf.DUMMYFUNCTION("REGEXEXTRACT(B919, ""\((\d+)\)"")"),"16")</f>
        <v>16</v>
      </c>
      <c r="I919" s="5"/>
      <c r="J919" s="5"/>
      <c r="K919" s="5"/>
      <c r="L919" s="5"/>
    </row>
    <row r="920" ht="35.25" customHeight="1">
      <c r="A920" s="5">
        <v>919.0</v>
      </c>
      <c r="B920" s="22" t="s">
        <v>1803</v>
      </c>
      <c r="C920" s="6" t="str">
        <f>IFERROR(__xludf.DUMMYFUNCTION("REGEXEXTRACT(B920, ""^[A-Z0-9-]+"")"),"ME-600")</f>
        <v>ME-600</v>
      </c>
      <c r="D920" s="22" t="s">
        <v>194</v>
      </c>
      <c r="E920" s="23" t="s">
        <v>87</v>
      </c>
      <c r="F920" s="22" t="s">
        <v>77</v>
      </c>
      <c r="G920" s="8" t="s">
        <v>12</v>
      </c>
      <c r="H920" s="5" t="str">
        <f>IFERROR(__xludf.DUMMYFUNCTION("REGEXEXTRACT(B920, ""\((\d+)\)"")"),"1")</f>
        <v>1</v>
      </c>
      <c r="I920" s="5"/>
      <c r="J920" s="5"/>
      <c r="K920" s="5"/>
      <c r="L920" s="5"/>
    </row>
    <row r="921" ht="35.25" customHeight="1">
      <c r="A921" s="5">
        <v>920.0</v>
      </c>
      <c r="B921" s="14" t="s">
        <v>1804</v>
      </c>
      <c r="C921" s="6" t="str">
        <f>IFERROR(__xludf.DUMMYFUNCTION("REGEXEXTRACT(B921, ""^[A-Z0-9-]+"")"),"ME-601")</f>
        <v>ME-601</v>
      </c>
      <c r="D921" s="14" t="s">
        <v>1805</v>
      </c>
      <c r="E921" s="15" t="s">
        <v>10</v>
      </c>
      <c r="F921" s="14" t="s">
        <v>19</v>
      </c>
      <c r="G921" s="8" t="s">
        <v>16</v>
      </c>
      <c r="H921" s="5" t="str">
        <f>IFERROR(__xludf.DUMMYFUNCTION("REGEXEXTRACT(B921, ""\((\d+)\)"")"),"3")</f>
        <v>3</v>
      </c>
      <c r="I921" s="5"/>
      <c r="J921" s="5"/>
      <c r="K921" s="5"/>
      <c r="L921" s="5"/>
    </row>
    <row r="922" ht="35.25" customHeight="1">
      <c r="A922" s="5">
        <v>921.0</v>
      </c>
      <c r="B922" s="14" t="s">
        <v>1804</v>
      </c>
      <c r="C922" s="6" t="str">
        <f>IFERROR(__xludf.DUMMYFUNCTION("REGEXEXTRACT(B922, ""^[A-Z0-9-]+"")"),"ME-601")</f>
        <v>ME-601</v>
      </c>
      <c r="D922" s="14" t="s">
        <v>1806</v>
      </c>
      <c r="E922" s="15" t="s">
        <v>10</v>
      </c>
      <c r="F922" s="14" t="s">
        <v>19</v>
      </c>
      <c r="G922" s="8" t="s">
        <v>20</v>
      </c>
      <c r="H922" s="5" t="str">
        <f>IFERROR(__xludf.DUMMYFUNCTION("REGEXEXTRACT(B922, ""\((\d+)\)"")"),"3")</f>
        <v>3</v>
      </c>
      <c r="I922" s="5"/>
      <c r="J922" s="5"/>
      <c r="K922" s="5"/>
      <c r="L922" s="5"/>
    </row>
    <row r="923" ht="35.25" customHeight="1">
      <c r="A923" s="5">
        <v>922.0</v>
      </c>
      <c r="B923" s="14" t="s">
        <v>1807</v>
      </c>
      <c r="C923" s="6" t="str">
        <f>IFERROR(__xludf.DUMMYFUNCTION("REGEXEXTRACT(B923, ""^[A-Z0-9-]+"")"),"ME-602")</f>
        <v>ME-602</v>
      </c>
      <c r="D923" s="14" t="s">
        <v>1808</v>
      </c>
      <c r="E923" s="15" t="s">
        <v>10</v>
      </c>
      <c r="F923" s="14" t="s">
        <v>713</v>
      </c>
      <c r="G923" s="8" t="s">
        <v>24</v>
      </c>
      <c r="H923" s="5" t="str">
        <f>IFERROR(__xludf.DUMMYFUNCTION("REGEXEXTRACT(B923, ""\((\d+)\)"")"),"3")</f>
        <v>3</v>
      </c>
      <c r="I923" s="5"/>
      <c r="J923" s="5"/>
      <c r="K923" s="5"/>
      <c r="L923" s="5"/>
    </row>
    <row r="924" ht="35.25" customHeight="1">
      <c r="A924" s="5">
        <v>923.0</v>
      </c>
      <c r="B924" s="14" t="s">
        <v>1809</v>
      </c>
      <c r="C924" s="6" t="str">
        <f>IFERROR(__xludf.DUMMYFUNCTION("REGEXEXTRACT(B924, ""^[A-Z0-9-]+"")"),"ME-603")</f>
        <v>ME-603</v>
      </c>
      <c r="D924" s="14" t="s">
        <v>1810</v>
      </c>
      <c r="E924" s="15" t="s">
        <v>10</v>
      </c>
      <c r="F924" s="14" t="s">
        <v>19</v>
      </c>
      <c r="G924" s="8" t="s">
        <v>27</v>
      </c>
      <c r="H924" s="5" t="str">
        <f>IFERROR(__xludf.DUMMYFUNCTION("REGEXEXTRACT(B924, ""\((\d+)\)"")"),"3")</f>
        <v>3</v>
      </c>
      <c r="I924" s="5"/>
      <c r="J924" s="5"/>
      <c r="K924" s="5"/>
      <c r="L924" s="5"/>
    </row>
    <row r="925" ht="35.25" customHeight="1">
      <c r="A925" s="5">
        <v>924.0</v>
      </c>
      <c r="B925" s="14" t="s">
        <v>1811</v>
      </c>
      <c r="C925" s="6" t="str">
        <f>IFERROR(__xludf.DUMMYFUNCTION("REGEXEXTRACT(B925, ""^[A-Z0-9-]+"")"),"ME-604")</f>
        <v>ME-604</v>
      </c>
      <c r="D925" s="14" t="s">
        <v>1812</v>
      </c>
      <c r="E925" s="15" t="s">
        <v>10</v>
      </c>
      <c r="F925" s="14" t="s">
        <v>19</v>
      </c>
      <c r="G925" s="8" t="s">
        <v>30</v>
      </c>
      <c r="H925" s="5" t="str">
        <f>IFERROR(__xludf.DUMMYFUNCTION("REGEXEXTRACT(B925, ""\((\d+)\)"")"),"3")</f>
        <v>3</v>
      </c>
      <c r="I925" s="5"/>
      <c r="J925" s="5"/>
      <c r="K925" s="5"/>
      <c r="L925" s="5"/>
    </row>
    <row r="926" ht="35.25" customHeight="1">
      <c r="A926" s="5">
        <v>925.0</v>
      </c>
      <c r="B926" s="14" t="s">
        <v>1813</v>
      </c>
      <c r="C926" s="6" t="str">
        <f>IFERROR(__xludf.DUMMYFUNCTION("REGEXEXTRACT(B926, ""^[A-Z0-9-]+"")"),"ME-605")</f>
        <v>ME-605</v>
      </c>
      <c r="D926" s="14" t="s">
        <v>1814</v>
      </c>
      <c r="E926" s="15" t="s">
        <v>10</v>
      </c>
      <c r="F926" s="14" t="s">
        <v>19</v>
      </c>
      <c r="G926" s="8" t="s">
        <v>33</v>
      </c>
      <c r="H926" s="5" t="str">
        <f>IFERROR(__xludf.DUMMYFUNCTION("REGEXEXTRACT(B926, ""\((\d+)\)"")"),"3")</f>
        <v>3</v>
      </c>
      <c r="I926" s="5"/>
      <c r="J926" s="5"/>
      <c r="K926" s="5"/>
      <c r="L926" s="5"/>
    </row>
    <row r="927" ht="35.25" customHeight="1">
      <c r="A927" s="5">
        <v>926.0</v>
      </c>
      <c r="B927" s="14" t="s">
        <v>1815</v>
      </c>
      <c r="C927" s="6" t="str">
        <f>IFERROR(__xludf.DUMMYFUNCTION("REGEXEXTRACT(B927, ""^[A-Z0-9-]+"")"),"ME-606")</f>
        <v>ME-606</v>
      </c>
      <c r="D927" s="14" t="s">
        <v>1816</v>
      </c>
      <c r="E927" s="15" t="s">
        <v>10</v>
      </c>
      <c r="F927" s="14" t="s">
        <v>19</v>
      </c>
      <c r="G927" s="8" t="s">
        <v>36</v>
      </c>
      <c r="H927" s="5" t="str">
        <f>IFERROR(__xludf.DUMMYFUNCTION("REGEXEXTRACT(B927, ""\((\d+)\)"")"),"3")</f>
        <v>3</v>
      </c>
      <c r="I927" s="5"/>
      <c r="J927" s="5"/>
      <c r="K927" s="5"/>
      <c r="L927" s="5"/>
    </row>
    <row r="928" ht="35.25" customHeight="1">
      <c r="A928" s="5">
        <v>927.0</v>
      </c>
      <c r="B928" s="14" t="s">
        <v>1817</v>
      </c>
      <c r="C928" s="6" t="str">
        <f>IFERROR(__xludf.DUMMYFUNCTION("REGEXEXTRACT(B928, ""^[A-Z0-9-]+"")"),"ME-607")</f>
        <v>ME-607</v>
      </c>
      <c r="D928" s="14" t="s">
        <v>1738</v>
      </c>
      <c r="E928" s="15" t="s">
        <v>10</v>
      </c>
      <c r="F928" s="14" t="s">
        <v>19</v>
      </c>
      <c r="G928" s="8" t="s">
        <v>39</v>
      </c>
      <c r="H928" s="5" t="str">
        <f>IFERROR(__xludf.DUMMYFUNCTION("REGEXEXTRACT(B928, ""\((\d+)\)"")"),"3")</f>
        <v>3</v>
      </c>
      <c r="I928" s="5"/>
      <c r="J928" s="5"/>
      <c r="K928" s="5"/>
      <c r="L928" s="5"/>
    </row>
    <row r="929" ht="35.25" customHeight="1">
      <c r="A929" s="5">
        <v>928.0</v>
      </c>
      <c r="B929" s="14" t="s">
        <v>1818</v>
      </c>
      <c r="C929" s="6" t="str">
        <f>IFERROR(__xludf.DUMMYFUNCTION("REGEXEXTRACT(B929, ""^[A-Z0-9-]+"")"),"ME-609")</f>
        <v>ME-609</v>
      </c>
      <c r="D929" s="14" t="s">
        <v>1743</v>
      </c>
      <c r="E929" s="15" t="s">
        <v>10</v>
      </c>
      <c r="F929" s="14" t="s">
        <v>19</v>
      </c>
      <c r="G929" s="8" t="s">
        <v>12</v>
      </c>
      <c r="H929" s="5" t="str">
        <f>IFERROR(__xludf.DUMMYFUNCTION("REGEXEXTRACT(B929, ""\((\d+)\)"")"),"3")</f>
        <v>3</v>
      </c>
      <c r="I929" s="5"/>
      <c r="J929" s="5"/>
      <c r="K929" s="5"/>
      <c r="L929" s="5"/>
    </row>
    <row r="930" ht="35.25" customHeight="1">
      <c r="A930" s="5">
        <v>929.0</v>
      </c>
      <c r="B930" s="14" t="s">
        <v>1819</v>
      </c>
      <c r="C930" s="6" t="str">
        <f>IFERROR(__xludf.DUMMYFUNCTION("REGEXEXTRACT(B930, ""^[A-Z0-9-]+"")"),"ME-610")</f>
        <v>ME-610</v>
      </c>
      <c r="D930" s="14" t="s">
        <v>1820</v>
      </c>
      <c r="E930" s="15" t="s">
        <v>10</v>
      </c>
      <c r="F930" s="14" t="s">
        <v>11</v>
      </c>
      <c r="G930" s="8" t="s">
        <v>16</v>
      </c>
      <c r="H930" s="5" t="str">
        <f>IFERROR(__xludf.DUMMYFUNCTION("REGEXEXTRACT(B930, ""\((\d+)\)"")"),"4")</f>
        <v>4</v>
      </c>
      <c r="I930" s="5"/>
      <c r="J930" s="5"/>
      <c r="K930" s="5"/>
      <c r="L930" s="5"/>
    </row>
    <row r="931" ht="35.25" customHeight="1">
      <c r="A931" s="5">
        <v>930.0</v>
      </c>
      <c r="B931" s="14" t="s">
        <v>1821</v>
      </c>
      <c r="C931" s="6" t="str">
        <f>IFERROR(__xludf.DUMMYFUNCTION("REGEXEXTRACT(B931, ""^[A-Z0-9-]+"")"),"ME-611")</f>
        <v>ME-611</v>
      </c>
      <c r="D931" s="14" t="s">
        <v>1822</v>
      </c>
      <c r="E931" s="15" t="s">
        <v>10</v>
      </c>
      <c r="F931" s="14" t="s">
        <v>19</v>
      </c>
      <c r="G931" s="8" t="s">
        <v>20</v>
      </c>
      <c r="H931" s="5" t="str">
        <f>IFERROR(__xludf.DUMMYFUNCTION("REGEXEXTRACT(B931, ""\((\d+)\)"")"),"3")</f>
        <v>3</v>
      </c>
      <c r="I931" s="5"/>
      <c r="J931" s="5"/>
      <c r="K931" s="5"/>
      <c r="L931" s="5"/>
    </row>
    <row r="932" ht="35.25" customHeight="1">
      <c r="A932" s="5">
        <v>931.0</v>
      </c>
      <c r="B932" s="14" t="s">
        <v>1823</v>
      </c>
      <c r="C932" s="6" t="str">
        <f>IFERROR(__xludf.DUMMYFUNCTION("REGEXEXTRACT(B932, ""^[A-Z0-9-]+"")"),"ME-613")</f>
        <v>ME-613</v>
      </c>
      <c r="D932" s="14" t="s">
        <v>1824</v>
      </c>
      <c r="E932" s="15" t="s">
        <v>10</v>
      </c>
      <c r="F932" s="14" t="s">
        <v>19</v>
      </c>
      <c r="G932" s="8" t="s">
        <v>24</v>
      </c>
      <c r="H932" s="5" t="str">
        <f>IFERROR(__xludf.DUMMYFUNCTION("REGEXEXTRACT(B932, ""\((\d+)\)"")"),"3")</f>
        <v>3</v>
      </c>
      <c r="I932" s="5"/>
      <c r="J932" s="5"/>
      <c r="K932" s="5"/>
      <c r="L932" s="5"/>
    </row>
    <row r="933" ht="35.25" customHeight="1">
      <c r="A933" s="5">
        <v>932.0</v>
      </c>
      <c r="B933" s="14" t="s">
        <v>1825</v>
      </c>
      <c r="C933" s="6" t="str">
        <f>IFERROR(__xludf.DUMMYFUNCTION("REGEXEXTRACT(B933, ""^[A-Z0-9-]+"")"),"ME-614")</f>
        <v>ME-614</v>
      </c>
      <c r="D933" s="14" t="s">
        <v>1826</v>
      </c>
      <c r="E933" s="15" t="s">
        <v>10</v>
      </c>
      <c r="F933" s="14" t="s">
        <v>713</v>
      </c>
      <c r="G933" s="8" t="s">
        <v>27</v>
      </c>
      <c r="H933" s="5" t="str">
        <f>IFERROR(__xludf.DUMMYFUNCTION("REGEXEXTRACT(B933, ""\((\d+)\)"")"),"3")</f>
        <v>3</v>
      </c>
      <c r="I933" s="5"/>
      <c r="J933" s="5"/>
      <c r="K933" s="5"/>
      <c r="L933" s="5"/>
    </row>
    <row r="934" ht="35.25" customHeight="1">
      <c r="A934" s="5">
        <v>933.0</v>
      </c>
      <c r="B934" s="14" t="s">
        <v>1827</v>
      </c>
      <c r="C934" s="6" t="str">
        <f>IFERROR(__xludf.DUMMYFUNCTION("REGEXEXTRACT(B934, ""^[A-Z0-9-]+"")"),"ME-615")</f>
        <v>ME-615</v>
      </c>
      <c r="D934" s="14" t="s">
        <v>1828</v>
      </c>
      <c r="E934" s="15" t="s">
        <v>10</v>
      </c>
      <c r="F934" s="14" t="s">
        <v>713</v>
      </c>
      <c r="G934" s="8" t="s">
        <v>30</v>
      </c>
      <c r="H934" s="5" t="str">
        <f>IFERROR(__xludf.DUMMYFUNCTION("REGEXEXTRACT(B934, ""\((\d+)\)"")"),"3")</f>
        <v>3</v>
      </c>
      <c r="I934" s="5"/>
      <c r="J934" s="5"/>
      <c r="K934" s="5"/>
      <c r="L934" s="5"/>
    </row>
    <row r="935" ht="35.25" customHeight="1">
      <c r="A935" s="5">
        <v>934.0</v>
      </c>
      <c r="B935" s="14" t="s">
        <v>1829</v>
      </c>
      <c r="C935" s="6" t="str">
        <f>IFERROR(__xludf.DUMMYFUNCTION("REGEXEXTRACT(B935, ""^[A-Z0-9-]+"")"),"ME-616")</f>
        <v>ME-616</v>
      </c>
      <c r="D935" s="14" t="s">
        <v>1830</v>
      </c>
      <c r="E935" s="15" t="s">
        <v>10</v>
      </c>
      <c r="F935" s="14" t="s">
        <v>19</v>
      </c>
      <c r="G935" s="8" t="s">
        <v>33</v>
      </c>
      <c r="H935" s="5" t="str">
        <f>IFERROR(__xludf.DUMMYFUNCTION("REGEXEXTRACT(B935, ""\((\d+)\)"")"),"3")</f>
        <v>3</v>
      </c>
      <c r="I935" s="5"/>
      <c r="J935" s="5"/>
      <c r="K935" s="5"/>
      <c r="L935" s="5"/>
    </row>
    <row r="936" ht="35.25" customHeight="1">
      <c r="A936" s="5">
        <v>935.0</v>
      </c>
      <c r="B936" s="14" t="s">
        <v>1831</v>
      </c>
      <c r="C936" s="6" t="str">
        <f>IFERROR(__xludf.DUMMYFUNCTION("REGEXEXTRACT(B936, ""^[A-Z0-9-]+"")"),"ME-617")</f>
        <v>ME-617</v>
      </c>
      <c r="D936" s="14" t="s">
        <v>1832</v>
      </c>
      <c r="E936" s="15" t="s">
        <v>10</v>
      </c>
      <c r="F936" s="14" t="s">
        <v>19</v>
      </c>
      <c r="G936" s="8" t="s">
        <v>36</v>
      </c>
      <c r="H936" s="5" t="str">
        <f>IFERROR(__xludf.DUMMYFUNCTION("REGEXEXTRACT(B936, ""\((\d+)\)"")"),"3")</f>
        <v>3</v>
      </c>
      <c r="I936" s="5"/>
      <c r="J936" s="5"/>
      <c r="K936" s="5"/>
      <c r="L936" s="5"/>
    </row>
    <row r="937" ht="35.25" customHeight="1">
      <c r="A937" s="5">
        <v>936.0</v>
      </c>
      <c r="B937" s="14" t="s">
        <v>1833</v>
      </c>
      <c r="C937" s="6" t="str">
        <f>IFERROR(__xludf.DUMMYFUNCTION("REGEXEXTRACT(B937, ""^[A-Z0-9-]+"")"),"ME-618")</f>
        <v>ME-618</v>
      </c>
      <c r="D937" s="14" t="s">
        <v>1834</v>
      </c>
      <c r="E937" s="15" t="s">
        <v>10</v>
      </c>
      <c r="F937" s="14" t="s">
        <v>237</v>
      </c>
      <c r="G937" s="8" t="s">
        <v>39</v>
      </c>
      <c r="H937" s="5" t="str">
        <f>IFERROR(__xludf.DUMMYFUNCTION("REGEXEXTRACT(B937, ""\((\d+)\)"")"),"3")</f>
        <v>3</v>
      </c>
      <c r="I937" s="5"/>
      <c r="J937" s="5"/>
      <c r="K937" s="5"/>
      <c r="L937" s="5"/>
    </row>
    <row r="938" ht="35.25" customHeight="1">
      <c r="A938" s="5">
        <v>937.0</v>
      </c>
      <c r="B938" s="14" t="s">
        <v>1835</v>
      </c>
      <c r="C938" s="6" t="str">
        <f>IFERROR(__xludf.DUMMYFUNCTION("REGEXEXTRACT(B938, ""^[A-Z0-9-]+"")"),"ME-619")</f>
        <v>ME-619</v>
      </c>
      <c r="D938" s="14" t="s">
        <v>1836</v>
      </c>
      <c r="E938" s="15" t="s">
        <v>10</v>
      </c>
      <c r="F938" s="14">
        <v>3.0</v>
      </c>
      <c r="G938" s="8" t="s">
        <v>12</v>
      </c>
      <c r="H938" s="5" t="str">
        <f>IFERROR(__xludf.DUMMYFUNCTION("REGEXEXTRACT(B938, ""\((\d+)\)"")"),"3")</f>
        <v>3</v>
      </c>
      <c r="I938" s="5"/>
      <c r="J938" s="5"/>
      <c r="K938" s="5"/>
      <c r="L938" s="5"/>
    </row>
    <row r="939" ht="35.25" customHeight="1">
      <c r="A939" s="5">
        <v>938.0</v>
      </c>
      <c r="B939" s="14" t="s">
        <v>1837</v>
      </c>
      <c r="C939" s="6" t="str">
        <f>IFERROR(__xludf.DUMMYFUNCTION("REGEXEXTRACT(B939, ""^[A-Z0-9-]+"")"),"ME-620")</f>
        <v>ME-620</v>
      </c>
      <c r="D939" s="14" t="s">
        <v>1838</v>
      </c>
      <c r="E939" s="15" t="s">
        <v>10</v>
      </c>
      <c r="F939" s="14" t="s">
        <v>23</v>
      </c>
      <c r="G939" s="8" t="s">
        <v>16</v>
      </c>
      <c r="H939" s="5" t="str">
        <f>IFERROR(__xludf.DUMMYFUNCTION("REGEXEXTRACT(B939, ""\((\d+)\)"")"),"3")</f>
        <v>3</v>
      </c>
      <c r="I939" s="5"/>
      <c r="J939" s="5"/>
      <c r="K939" s="5"/>
      <c r="L939" s="5"/>
    </row>
    <row r="940" ht="35.25" customHeight="1">
      <c r="A940" s="5">
        <v>939.0</v>
      </c>
      <c r="B940" s="14" t="s">
        <v>1839</v>
      </c>
      <c r="C940" s="6" t="str">
        <f>IFERROR(__xludf.DUMMYFUNCTION("REGEXEXTRACT(B940, ""^[A-Z0-9-]+"")"),"ME-621")</f>
        <v>ME-621</v>
      </c>
      <c r="D940" s="14" t="s">
        <v>1840</v>
      </c>
      <c r="E940" s="15" t="s">
        <v>10</v>
      </c>
      <c r="F940" s="14" t="s">
        <v>237</v>
      </c>
      <c r="G940" s="8" t="s">
        <v>20</v>
      </c>
      <c r="H940" s="5" t="str">
        <f>IFERROR(__xludf.DUMMYFUNCTION("REGEXEXTRACT(B940, ""\((\d+)\)"")"),"3")</f>
        <v>3</v>
      </c>
      <c r="I940" s="5"/>
      <c r="J940" s="5"/>
      <c r="K940" s="5"/>
      <c r="L940" s="5"/>
    </row>
    <row r="941" ht="35.25" customHeight="1">
      <c r="A941" s="5">
        <v>940.0</v>
      </c>
      <c r="B941" s="14" t="s">
        <v>1841</v>
      </c>
      <c r="C941" s="6" t="str">
        <f>IFERROR(__xludf.DUMMYFUNCTION("REGEXEXTRACT(B941, ""^[A-Z0-9-]+"")"),"ME-622")</f>
        <v>ME-622</v>
      </c>
      <c r="D941" s="14" t="s">
        <v>1842</v>
      </c>
      <c r="E941" s="15" t="s">
        <v>10</v>
      </c>
      <c r="F941" s="14" t="s">
        <v>19</v>
      </c>
      <c r="G941" s="8" t="s">
        <v>24</v>
      </c>
      <c r="H941" s="5" t="str">
        <f>IFERROR(__xludf.DUMMYFUNCTION("REGEXEXTRACT(B941, ""\((\d+)\)"")"),"3")</f>
        <v>3</v>
      </c>
      <c r="I941" s="5"/>
      <c r="J941" s="5"/>
      <c r="K941" s="5"/>
      <c r="L941" s="5"/>
    </row>
    <row r="942" ht="35.25" customHeight="1">
      <c r="A942" s="5">
        <v>941.0</v>
      </c>
      <c r="B942" s="18"/>
      <c r="C942" s="6" t="str">
        <f>IFERROR(__xludf.DUMMYFUNCTION("REGEXEXTRACT(B942, ""^[A-Z0-9-]+"")"),"#N/A")</f>
        <v>#N/A</v>
      </c>
      <c r="D942" s="18"/>
      <c r="E942" s="18"/>
      <c r="F942" s="18"/>
      <c r="G942" s="8" t="s">
        <v>27</v>
      </c>
      <c r="H942" s="5" t="str">
        <f>IFERROR(__xludf.DUMMYFUNCTION("REGEXEXTRACT(B942, ""\((\d+)\)"")"),"#N/A")</f>
        <v>#N/A</v>
      </c>
      <c r="I942" s="20"/>
      <c r="J942" s="20"/>
      <c r="K942" s="20"/>
      <c r="L942" s="20"/>
    </row>
    <row r="943" ht="35.25" customHeight="1">
      <c r="A943" s="5">
        <v>942.0</v>
      </c>
      <c r="B943" s="14" t="s">
        <v>1843</v>
      </c>
      <c r="C943" s="6" t="str">
        <f>IFERROR(__xludf.DUMMYFUNCTION("REGEXEXTRACT(B943, ""^[A-Z0-9-]+"")"),"ME-625")</f>
        <v>ME-625</v>
      </c>
      <c r="D943" s="14" t="s">
        <v>1844</v>
      </c>
      <c r="E943" s="15" t="s">
        <v>10</v>
      </c>
      <c r="F943" s="14" t="s">
        <v>19</v>
      </c>
      <c r="G943" s="8" t="s">
        <v>30</v>
      </c>
      <c r="H943" s="5" t="str">
        <f>IFERROR(__xludf.DUMMYFUNCTION("REGEXEXTRACT(B943, ""\((\d+)\)"")"),"3")</f>
        <v>3</v>
      </c>
      <c r="I943" s="5"/>
      <c r="J943" s="5"/>
      <c r="K943" s="5"/>
      <c r="L943" s="5"/>
    </row>
    <row r="944" ht="35.25" customHeight="1">
      <c r="A944" s="5">
        <v>943.0</v>
      </c>
      <c r="B944" s="14" t="s">
        <v>1845</v>
      </c>
      <c r="C944" s="6" t="str">
        <f>IFERROR(__xludf.DUMMYFUNCTION("REGEXEXTRACT(B944, ""^[A-Z0-9-]+"")"),"ME-626")</f>
        <v>ME-626</v>
      </c>
      <c r="D944" s="14" t="s">
        <v>1846</v>
      </c>
      <c r="E944" s="15" t="s">
        <v>10</v>
      </c>
      <c r="F944" s="14" t="s">
        <v>19</v>
      </c>
      <c r="G944" s="8" t="s">
        <v>33</v>
      </c>
      <c r="H944" s="5" t="str">
        <f>IFERROR(__xludf.DUMMYFUNCTION("REGEXEXTRACT(B944, ""\((\d+)\)"")"),"3")</f>
        <v>3</v>
      </c>
      <c r="I944" s="5"/>
      <c r="J944" s="5"/>
      <c r="K944" s="5"/>
      <c r="L944" s="5"/>
    </row>
    <row r="945" ht="35.25" customHeight="1">
      <c r="A945" s="5">
        <v>944.0</v>
      </c>
      <c r="B945" s="14" t="s">
        <v>1847</v>
      </c>
      <c r="C945" s="6" t="str">
        <f>IFERROR(__xludf.DUMMYFUNCTION("REGEXEXTRACT(B945, ""^[A-Z0-9-]+"")"),"ME")</f>
        <v>ME</v>
      </c>
      <c r="D945" s="14" t="s">
        <v>1848</v>
      </c>
      <c r="E945" s="15" t="s">
        <v>10</v>
      </c>
      <c r="F945" s="14" t="s">
        <v>19</v>
      </c>
      <c r="G945" s="8" t="s">
        <v>36</v>
      </c>
      <c r="H945" s="5" t="str">
        <f>IFERROR(__xludf.DUMMYFUNCTION("REGEXEXTRACT(B945, ""\((\d+)\)"")"),"3")</f>
        <v>3</v>
      </c>
      <c r="I945" s="5"/>
      <c r="J945" s="5"/>
      <c r="K945" s="5"/>
      <c r="L945" s="5"/>
    </row>
    <row r="946" ht="35.25" customHeight="1">
      <c r="A946" s="5">
        <v>945.0</v>
      </c>
      <c r="B946" s="14" t="s">
        <v>1849</v>
      </c>
      <c r="C946" s="6" t="str">
        <f>IFERROR(__xludf.DUMMYFUNCTION("REGEXEXTRACT(B946, ""^[A-Z0-9-]+"")"),"ME")</f>
        <v>ME</v>
      </c>
      <c r="D946" s="14" t="s">
        <v>1850</v>
      </c>
      <c r="E946" s="15" t="s">
        <v>10</v>
      </c>
      <c r="F946" s="14" t="s">
        <v>19</v>
      </c>
      <c r="G946" s="8" t="s">
        <v>39</v>
      </c>
      <c r="H946" s="5" t="str">
        <f>IFERROR(__xludf.DUMMYFUNCTION("REGEXEXTRACT(B946, ""\((\d+)\)"")"),"3")</f>
        <v>3</v>
      </c>
      <c r="I946" s="5"/>
      <c r="J946" s="5"/>
      <c r="K946" s="5"/>
      <c r="L946" s="5"/>
    </row>
    <row r="947" ht="35.25" customHeight="1">
      <c r="A947" s="5">
        <v>946.0</v>
      </c>
      <c r="B947" s="22" t="s">
        <v>1851</v>
      </c>
      <c r="C947" s="6" t="str">
        <f>IFERROR(__xludf.DUMMYFUNCTION("REGEXEXTRACT(B947, ""^[A-Z0-9-]+"")"),"ME-630")</f>
        <v>ME-630</v>
      </c>
      <c r="D947" s="22" t="s">
        <v>1852</v>
      </c>
      <c r="E947" s="23" t="s">
        <v>10</v>
      </c>
      <c r="F947" s="22" t="s">
        <v>23</v>
      </c>
      <c r="G947" s="8" t="s">
        <v>12</v>
      </c>
      <c r="H947" s="5" t="str">
        <f>IFERROR(__xludf.DUMMYFUNCTION("REGEXEXTRACT(B947, ""\((\d+)\)"")"),"3")</f>
        <v>3</v>
      </c>
      <c r="I947" s="5"/>
      <c r="J947" s="5"/>
      <c r="K947" s="5"/>
      <c r="L947" s="5"/>
    </row>
    <row r="948" ht="35.25" customHeight="1">
      <c r="A948" s="5">
        <v>947.0</v>
      </c>
      <c r="B948" s="14" t="s">
        <v>1853</v>
      </c>
      <c r="C948" s="6" t="str">
        <f>IFERROR(__xludf.DUMMYFUNCTION("REGEXEXTRACT(B948, ""^[A-Z0-9-]+"")"),"ME-631")</f>
        <v>ME-631</v>
      </c>
      <c r="D948" s="14" t="s">
        <v>1854</v>
      </c>
      <c r="E948" s="15" t="s">
        <v>10</v>
      </c>
      <c r="F948" s="14" t="s">
        <v>19</v>
      </c>
      <c r="G948" s="8" t="s">
        <v>16</v>
      </c>
      <c r="H948" s="5" t="str">
        <f>IFERROR(__xludf.DUMMYFUNCTION("REGEXEXTRACT(B948, ""\((\d+)\)"")"),"3")</f>
        <v>3</v>
      </c>
      <c r="I948" s="5"/>
      <c r="J948" s="5"/>
      <c r="K948" s="5"/>
      <c r="L948" s="5"/>
    </row>
    <row r="949" ht="35.25" customHeight="1">
      <c r="A949" s="5">
        <v>948.0</v>
      </c>
      <c r="B949" s="14" t="s">
        <v>1855</v>
      </c>
      <c r="C949" s="6" t="str">
        <f>IFERROR(__xludf.DUMMYFUNCTION("REGEXEXTRACT(B949, ""^[A-Z0-9-]+"")"),"ME-632")</f>
        <v>ME-632</v>
      </c>
      <c r="D949" s="14" t="s">
        <v>1856</v>
      </c>
      <c r="E949" s="15" t="s">
        <v>10</v>
      </c>
      <c r="F949" s="14" t="s">
        <v>19</v>
      </c>
      <c r="G949" s="8" t="s">
        <v>20</v>
      </c>
      <c r="H949" s="5" t="str">
        <f>IFERROR(__xludf.DUMMYFUNCTION("REGEXEXTRACT(B949, ""\((\d+)\)"")"),"3")</f>
        <v>3</v>
      </c>
      <c r="I949" s="5"/>
      <c r="J949" s="5"/>
      <c r="K949" s="5"/>
      <c r="L949" s="5"/>
    </row>
    <row r="950" ht="35.25" customHeight="1">
      <c r="A950" s="5">
        <v>949.0</v>
      </c>
      <c r="B950" s="14" t="s">
        <v>1857</v>
      </c>
      <c r="C950" s="6" t="str">
        <f>IFERROR(__xludf.DUMMYFUNCTION("REGEXEXTRACT(B950, ""^[A-Z0-9-]+"")"),"ME-633")</f>
        <v>ME-633</v>
      </c>
      <c r="D950" s="14" t="s">
        <v>1858</v>
      </c>
      <c r="E950" s="15" t="s">
        <v>10</v>
      </c>
      <c r="F950" s="14" t="s">
        <v>19</v>
      </c>
      <c r="G950" s="8" t="s">
        <v>24</v>
      </c>
      <c r="H950" s="5" t="str">
        <f>IFERROR(__xludf.DUMMYFUNCTION("REGEXEXTRACT(B950, ""\((\d+)\)"")"),"3")</f>
        <v>3</v>
      </c>
      <c r="I950" s="5"/>
      <c r="J950" s="5"/>
      <c r="K950" s="5"/>
      <c r="L950" s="5"/>
    </row>
    <row r="951" ht="35.25" customHeight="1">
      <c r="A951" s="5">
        <v>950.0</v>
      </c>
      <c r="B951" s="14" t="s">
        <v>1859</v>
      </c>
      <c r="C951" s="6" t="str">
        <f>IFERROR(__xludf.DUMMYFUNCTION("REGEXEXTRACT(B951, ""^[A-Z0-9-]+"")"),"ME-634")</f>
        <v>ME-634</v>
      </c>
      <c r="D951" s="14" t="s">
        <v>1860</v>
      </c>
      <c r="E951" s="15" t="s">
        <v>10</v>
      </c>
      <c r="F951" s="14" t="s">
        <v>19</v>
      </c>
      <c r="G951" s="8" t="s">
        <v>27</v>
      </c>
      <c r="H951" s="5" t="str">
        <f>IFERROR(__xludf.DUMMYFUNCTION("REGEXEXTRACT(B951, ""\((\d+)\)"")"),"3")</f>
        <v>3</v>
      </c>
      <c r="I951" s="5"/>
      <c r="J951" s="5"/>
      <c r="K951" s="5"/>
      <c r="L951" s="5"/>
    </row>
    <row r="952" ht="35.25" customHeight="1">
      <c r="A952" s="5">
        <v>951.0</v>
      </c>
      <c r="B952" s="14" t="s">
        <v>1861</v>
      </c>
      <c r="C952" s="6" t="str">
        <f>IFERROR(__xludf.DUMMYFUNCTION("REGEXEXTRACT(B952, ""^[A-Z0-9-]+"")"),"ME-635")</f>
        <v>ME-635</v>
      </c>
      <c r="D952" s="14" t="s">
        <v>1862</v>
      </c>
      <c r="E952" s="15" t="s">
        <v>10</v>
      </c>
      <c r="F952" s="14" t="s">
        <v>19</v>
      </c>
      <c r="G952" s="8" t="s">
        <v>30</v>
      </c>
      <c r="H952" s="5" t="str">
        <f>IFERROR(__xludf.DUMMYFUNCTION("REGEXEXTRACT(B952, ""\((\d+)\)"")"),"3")</f>
        <v>3</v>
      </c>
      <c r="I952" s="5"/>
      <c r="J952" s="5"/>
      <c r="K952" s="5"/>
      <c r="L952" s="5"/>
    </row>
    <row r="953" ht="35.25" customHeight="1">
      <c r="A953" s="5">
        <v>952.0</v>
      </c>
      <c r="B953" s="14" t="s">
        <v>1863</v>
      </c>
      <c r="C953" s="6" t="str">
        <f>IFERROR(__xludf.DUMMYFUNCTION("REGEXEXTRACT(B953, ""^[A-Z0-9-]+"")"),"ME-636")</f>
        <v>ME-636</v>
      </c>
      <c r="D953" s="14" t="s">
        <v>1864</v>
      </c>
      <c r="E953" s="15" t="s">
        <v>10</v>
      </c>
      <c r="F953" s="14" t="s">
        <v>19</v>
      </c>
      <c r="G953" s="8" t="s">
        <v>33</v>
      </c>
      <c r="H953" s="5" t="str">
        <f>IFERROR(__xludf.DUMMYFUNCTION("REGEXEXTRACT(B953, ""\((\d+)\)"")"),"3")</f>
        <v>3</v>
      </c>
      <c r="I953" s="5"/>
      <c r="J953" s="5"/>
      <c r="K953" s="5"/>
      <c r="L953" s="5"/>
    </row>
    <row r="954" ht="35.25" customHeight="1">
      <c r="A954" s="5">
        <v>953.0</v>
      </c>
      <c r="B954" s="14" t="s">
        <v>1865</v>
      </c>
      <c r="C954" s="6" t="str">
        <f>IFERROR(__xludf.DUMMYFUNCTION("REGEXEXTRACT(B954, ""^[A-Z0-9-]+"")"),"ME-637")</f>
        <v>ME-637</v>
      </c>
      <c r="D954" s="14" t="s">
        <v>1866</v>
      </c>
      <c r="E954" s="15" t="s">
        <v>10</v>
      </c>
      <c r="F954" s="14" t="s">
        <v>19</v>
      </c>
      <c r="G954" s="8" t="s">
        <v>36</v>
      </c>
      <c r="H954" s="5" t="str">
        <f>IFERROR(__xludf.DUMMYFUNCTION("REGEXEXTRACT(B954, ""\((\d+)\)"")"),"3")</f>
        <v>3</v>
      </c>
      <c r="I954" s="5"/>
      <c r="J954" s="5"/>
      <c r="K954" s="5"/>
      <c r="L954" s="5"/>
    </row>
    <row r="955" ht="35.25" customHeight="1">
      <c r="A955" s="5">
        <v>954.0</v>
      </c>
      <c r="B955" s="14" t="s">
        <v>1867</v>
      </c>
      <c r="C955" s="6" t="str">
        <f>IFERROR(__xludf.DUMMYFUNCTION("REGEXEXTRACT(B955, ""^[A-Z0-9-]+"")"),"ME-638")</f>
        <v>ME-638</v>
      </c>
      <c r="D955" s="14" t="s">
        <v>1868</v>
      </c>
      <c r="E955" s="15" t="s">
        <v>10</v>
      </c>
      <c r="F955" s="14" t="s">
        <v>19</v>
      </c>
      <c r="G955" s="8" t="s">
        <v>39</v>
      </c>
      <c r="H955" s="5" t="str">
        <f>IFERROR(__xludf.DUMMYFUNCTION("REGEXEXTRACT(B955, ""\((\d+)\)"")"),"3")</f>
        <v>3</v>
      </c>
      <c r="I955" s="5"/>
      <c r="J955" s="5"/>
      <c r="K955" s="5"/>
      <c r="L955" s="5"/>
    </row>
    <row r="956" ht="35.25" customHeight="1">
      <c r="A956" s="5">
        <v>955.0</v>
      </c>
      <c r="B956" s="14" t="s">
        <v>1869</v>
      </c>
      <c r="C956" s="6" t="str">
        <f>IFERROR(__xludf.DUMMYFUNCTION("REGEXEXTRACT(B956, ""^[A-Z0-9-]+"")"),"ME-639")</f>
        <v>ME-639</v>
      </c>
      <c r="D956" s="14" t="s">
        <v>1870</v>
      </c>
      <c r="E956" s="15" t="s">
        <v>10</v>
      </c>
      <c r="F956" s="14" t="s">
        <v>19</v>
      </c>
      <c r="G956" s="8" t="s">
        <v>12</v>
      </c>
      <c r="H956" s="5" t="str">
        <f>IFERROR(__xludf.DUMMYFUNCTION("REGEXEXTRACT(B956, ""\((\d+)\)"")"),"3")</f>
        <v>3</v>
      </c>
      <c r="I956" s="5"/>
      <c r="J956" s="5"/>
      <c r="K956" s="5"/>
      <c r="L956" s="5"/>
    </row>
    <row r="957" ht="35.25" customHeight="1">
      <c r="A957" s="5">
        <v>956.0</v>
      </c>
      <c r="B957" s="14" t="s">
        <v>1871</v>
      </c>
      <c r="C957" s="6" t="str">
        <f>IFERROR(__xludf.DUMMYFUNCTION("REGEXEXTRACT(B957, ""^[A-Z0-9-]+"")"),"ME-640")</f>
        <v>ME-640</v>
      </c>
      <c r="D957" s="14" t="s">
        <v>1872</v>
      </c>
      <c r="E957" s="15" t="s">
        <v>10</v>
      </c>
      <c r="F957" s="14" t="s">
        <v>19</v>
      </c>
      <c r="G957" s="8" t="s">
        <v>16</v>
      </c>
      <c r="H957" s="5" t="str">
        <f>IFERROR(__xludf.DUMMYFUNCTION("REGEXEXTRACT(B957, ""\((\d+)\)"")"),"3")</f>
        <v>3</v>
      </c>
      <c r="I957" s="5"/>
      <c r="J957" s="5"/>
      <c r="K957" s="5"/>
      <c r="L957" s="5"/>
    </row>
    <row r="958" ht="35.25" customHeight="1">
      <c r="A958" s="5">
        <v>957.0</v>
      </c>
      <c r="B958" s="14" t="s">
        <v>1873</v>
      </c>
      <c r="C958" s="6" t="str">
        <f>IFERROR(__xludf.DUMMYFUNCTION("REGEXEXTRACT(B958, ""^[A-Z0-9-]+"")"),"ME-641")</f>
        <v>ME-641</v>
      </c>
      <c r="D958" s="14" t="s">
        <v>1805</v>
      </c>
      <c r="E958" s="15" t="s">
        <v>10</v>
      </c>
      <c r="F958" s="14" t="s">
        <v>19</v>
      </c>
      <c r="G958" s="8" t="s">
        <v>20</v>
      </c>
      <c r="H958" s="5" t="str">
        <f>IFERROR(__xludf.DUMMYFUNCTION("REGEXEXTRACT(B958, ""\((\d+)\)"")"),"3")</f>
        <v>3</v>
      </c>
      <c r="I958" s="5"/>
      <c r="J958" s="5"/>
      <c r="K958" s="5"/>
      <c r="L958" s="5"/>
    </row>
    <row r="959" ht="35.25" customHeight="1">
      <c r="A959" s="5">
        <v>958.0</v>
      </c>
      <c r="B959" s="14" t="s">
        <v>1874</v>
      </c>
      <c r="C959" s="6" t="str">
        <f>IFERROR(__xludf.DUMMYFUNCTION("REGEXEXTRACT(B959, ""^[A-Z0-9-]+"")"),"ME")</f>
        <v>ME</v>
      </c>
      <c r="D959" s="14" t="s">
        <v>1875</v>
      </c>
      <c r="E959" s="15" t="s">
        <v>10</v>
      </c>
      <c r="F959" s="14" t="s">
        <v>331</v>
      </c>
      <c r="G959" s="8" t="s">
        <v>24</v>
      </c>
      <c r="H959" s="5" t="str">
        <f>IFERROR(__xludf.DUMMYFUNCTION("REGEXEXTRACT(B959, ""\((\d+)\)"")"),"2")</f>
        <v>2</v>
      </c>
      <c r="I959" s="5"/>
      <c r="J959" s="5"/>
      <c r="K959" s="5"/>
      <c r="L959" s="5"/>
    </row>
    <row r="960" ht="35.25" customHeight="1">
      <c r="A960" s="5">
        <v>959.0</v>
      </c>
      <c r="B960" s="14" t="s">
        <v>1876</v>
      </c>
      <c r="C960" s="6" t="str">
        <f>IFERROR(__xludf.DUMMYFUNCTION("REGEXEXTRACT(B960, ""^[A-Z0-9-]+"")"),"ME")</f>
        <v>ME</v>
      </c>
      <c r="D960" s="14" t="s">
        <v>1877</v>
      </c>
      <c r="E960" s="15" t="s">
        <v>87</v>
      </c>
      <c r="F960" s="14" t="s">
        <v>374</v>
      </c>
      <c r="G960" s="8" t="s">
        <v>27</v>
      </c>
      <c r="H960" s="5" t="str">
        <f>IFERROR(__xludf.DUMMYFUNCTION("REGEXEXTRACT(B960, ""\((\d+)\)"")"),"14")</f>
        <v>14</v>
      </c>
      <c r="I960" s="5"/>
      <c r="J960" s="5"/>
      <c r="K960" s="5"/>
      <c r="L960" s="5"/>
    </row>
    <row r="961" ht="35.25" customHeight="1">
      <c r="A961" s="5">
        <v>960.0</v>
      </c>
      <c r="B961" s="14" t="s">
        <v>1878</v>
      </c>
      <c r="C961" s="6" t="str">
        <f>IFERROR(__xludf.DUMMYFUNCTION("REGEXEXTRACT(B961, ""^[A-Z0-9-]+"")"),"ME")</f>
        <v>ME</v>
      </c>
      <c r="D961" s="14" t="s">
        <v>1879</v>
      </c>
      <c r="E961" s="15" t="s">
        <v>87</v>
      </c>
      <c r="F961" s="14" t="s">
        <v>191</v>
      </c>
      <c r="G961" s="8" t="s">
        <v>30</v>
      </c>
      <c r="H961" s="5" t="str">
        <f>IFERROR(__xludf.DUMMYFUNCTION("REGEXEXTRACT(B961, ""\((\d+)\)"")"),"16")</f>
        <v>16</v>
      </c>
      <c r="I961" s="5"/>
      <c r="J961" s="5"/>
      <c r="K961" s="5"/>
      <c r="L961" s="5"/>
    </row>
    <row r="962" ht="35.25" customHeight="1">
      <c r="A962" s="5">
        <v>961.0</v>
      </c>
      <c r="B962" s="14" t="s">
        <v>1880</v>
      </c>
      <c r="C962" s="6" t="str">
        <f>IFERROR(__xludf.DUMMYFUNCTION("REGEXEXTRACT(B962, ""^[A-Z0-9-]+"")"),"ME")</f>
        <v>ME</v>
      </c>
      <c r="D962" s="14" t="s">
        <v>1881</v>
      </c>
      <c r="E962" s="15" t="s">
        <v>87</v>
      </c>
      <c r="F962" s="14" t="s">
        <v>374</v>
      </c>
      <c r="G962" s="8" t="s">
        <v>33</v>
      </c>
      <c r="H962" s="5" t="str">
        <f>IFERROR(__xludf.DUMMYFUNCTION("REGEXEXTRACT(B962, ""\((\d+)\)"")"),"14")</f>
        <v>14</v>
      </c>
      <c r="I962" s="5"/>
      <c r="J962" s="5"/>
      <c r="K962" s="5"/>
      <c r="L962" s="5"/>
    </row>
    <row r="963" ht="35.25" customHeight="1">
      <c r="A963" s="5">
        <v>962.0</v>
      </c>
      <c r="B963" s="14" t="s">
        <v>1882</v>
      </c>
      <c r="C963" s="6" t="str">
        <f>IFERROR(__xludf.DUMMYFUNCTION("REGEXEXTRACT(B963, ""^[A-Z0-9-]+"")"),"ME")</f>
        <v>ME</v>
      </c>
      <c r="D963" s="14" t="s">
        <v>1883</v>
      </c>
      <c r="E963" s="15" t="s">
        <v>87</v>
      </c>
      <c r="F963" s="14" t="s">
        <v>919</v>
      </c>
      <c r="G963" s="8" t="s">
        <v>36</v>
      </c>
      <c r="H963" s="5" t="str">
        <f>IFERROR(__xludf.DUMMYFUNCTION("REGEXEXTRACT(B963, ""\((\d+)\)"")"),"18")</f>
        <v>18</v>
      </c>
      <c r="I963" s="5"/>
      <c r="J963" s="5"/>
      <c r="K963" s="5"/>
      <c r="L963" s="5"/>
    </row>
    <row r="964" ht="35.25" customHeight="1">
      <c r="A964" s="5">
        <v>963.0</v>
      </c>
      <c r="B964" s="22" t="s">
        <v>1884</v>
      </c>
      <c r="C964" s="6" t="str">
        <f>IFERROR(__xludf.DUMMYFUNCTION("REGEXEXTRACT(B964, ""^[A-Z0-9-]+"")"),"MT-201")</f>
        <v>MT-201</v>
      </c>
      <c r="D964" s="22" t="s">
        <v>1885</v>
      </c>
      <c r="E964" s="23" t="s">
        <v>87</v>
      </c>
      <c r="F964" s="22" t="s">
        <v>19</v>
      </c>
      <c r="G964" s="8" t="s">
        <v>39</v>
      </c>
      <c r="H964" s="5" t="str">
        <f>IFERROR(__xludf.DUMMYFUNCTION("REGEXEXTRACT(B964, ""\((\d+)\)"")"),"3")</f>
        <v>3</v>
      </c>
      <c r="I964" s="5"/>
      <c r="J964" s="5"/>
      <c r="K964" s="5"/>
      <c r="L964" s="5"/>
    </row>
    <row r="965" ht="35.25" customHeight="1">
      <c r="A965" s="5">
        <v>964.0</v>
      </c>
      <c r="B965" s="22" t="s">
        <v>1886</v>
      </c>
      <c r="C965" s="6" t="str">
        <f>IFERROR(__xludf.DUMMYFUNCTION("REGEXEXTRACT(B965, ""^[A-Z0-9-]+"")"),"MT-202")</f>
        <v>MT-202</v>
      </c>
      <c r="D965" s="22" t="s">
        <v>1887</v>
      </c>
      <c r="E965" s="23" t="s">
        <v>87</v>
      </c>
      <c r="F965" s="22" t="s">
        <v>19</v>
      </c>
      <c r="G965" s="8" t="s">
        <v>12</v>
      </c>
      <c r="H965" s="5" t="str">
        <f>IFERROR(__xludf.DUMMYFUNCTION("REGEXEXTRACT(B965, ""\((\d+)\)"")"),"3")</f>
        <v>3</v>
      </c>
      <c r="I965" s="5"/>
      <c r="J965" s="5"/>
      <c r="K965" s="5"/>
      <c r="L965" s="5"/>
    </row>
    <row r="966" ht="35.25" customHeight="1">
      <c r="A966" s="5">
        <v>965.0</v>
      </c>
      <c r="B966" s="22" t="s">
        <v>1888</v>
      </c>
      <c r="C966" s="6" t="str">
        <f>IFERROR(__xludf.DUMMYFUNCTION("REGEXEXTRACT(B966, ""^[A-Z0-9-]+"")"),"MT-203")</f>
        <v>MT-203</v>
      </c>
      <c r="D966" s="22" t="s">
        <v>1889</v>
      </c>
      <c r="E966" s="23" t="s">
        <v>87</v>
      </c>
      <c r="F966" s="22" t="s">
        <v>15</v>
      </c>
      <c r="G966" s="8" t="s">
        <v>16</v>
      </c>
      <c r="H966" s="5" t="str">
        <f>IFERROR(__xludf.DUMMYFUNCTION("REGEXEXTRACT(B966, ""\((\d+)\)"")"),"4")</f>
        <v>4</v>
      </c>
      <c r="I966" s="5"/>
      <c r="J966" s="5"/>
      <c r="K966" s="5"/>
      <c r="L966" s="5"/>
    </row>
    <row r="967" ht="35.25" customHeight="1">
      <c r="A967" s="5">
        <v>966.0</v>
      </c>
      <c r="B967" s="22" t="s">
        <v>1890</v>
      </c>
      <c r="C967" s="6" t="str">
        <f>IFERROR(__xludf.DUMMYFUNCTION("REGEXEXTRACT(B967, ""^[A-Z0-9-]+"")"),"MT-204")</f>
        <v>MT-204</v>
      </c>
      <c r="D967" s="22" t="s">
        <v>1891</v>
      </c>
      <c r="E967" s="23" t="s">
        <v>87</v>
      </c>
      <c r="F967" s="22" t="s">
        <v>19</v>
      </c>
      <c r="G967" s="8" t="s">
        <v>20</v>
      </c>
      <c r="H967" s="5" t="str">
        <f>IFERROR(__xludf.DUMMYFUNCTION("REGEXEXTRACT(B967, ""\((\d+)\)"")"),"3")</f>
        <v>3</v>
      </c>
      <c r="I967" s="5"/>
      <c r="J967" s="5"/>
      <c r="K967" s="5"/>
      <c r="L967" s="5"/>
    </row>
    <row r="968" ht="35.25" customHeight="1">
      <c r="A968" s="5">
        <v>967.0</v>
      </c>
      <c r="B968" s="22" t="s">
        <v>1892</v>
      </c>
      <c r="C968" s="6" t="str">
        <f>IFERROR(__xludf.DUMMYFUNCTION("REGEXEXTRACT(B968, ""^[A-Z0-9-]+"")"),"MT-205")</f>
        <v>MT-205</v>
      </c>
      <c r="D968" s="22" t="s">
        <v>1893</v>
      </c>
      <c r="E968" s="23" t="s">
        <v>87</v>
      </c>
      <c r="F968" s="22" t="s">
        <v>15</v>
      </c>
      <c r="G968" s="8" t="s">
        <v>24</v>
      </c>
      <c r="H968" s="5" t="str">
        <f>IFERROR(__xludf.DUMMYFUNCTION("REGEXEXTRACT(B968, ""\((\d+)\)"")"),"4")</f>
        <v>4</v>
      </c>
      <c r="I968" s="5"/>
      <c r="J968" s="5"/>
      <c r="K968" s="5"/>
      <c r="L968" s="5"/>
    </row>
    <row r="969" ht="35.25" customHeight="1">
      <c r="A969" s="5">
        <v>968.0</v>
      </c>
      <c r="B969" s="22" t="s">
        <v>1894</v>
      </c>
      <c r="C969" s="6" t="str">
        <f>IFERROR(__xludf.DUMMYFUNCTION("REGEXEXTRACT(B969, ""^[A-Z0-9-]+"")"),"MT-206")</f>
        <v>MT-206</v>
      </c>
      <c r="D969" s="22" t="s">
        <v>1895</v>
      </c>
      <c r="E969" s="23" t="s">
        <v>87</v>
      </c>
      <c r="F969" s="22" t="s">
        <v>15</v>
      </c>
      <c r="G969" s="8" t="s">
        <v>27</v>
      </c>
      <c r="H969" s="5" t="str">
        <f>IFERROR(__xludf.DUMMYFUNCTION("REGEXEXTRACT(B969, ""\((\d+)\)"")"),"4")</f>
        <v>4</v>
      </c>
      <c r="I969" s="5"/>
      <c r="J969" s="5"/>
      <c r="K969" s="5"/>
      <c r="L969" s="5"/>
    </row>
    <row r="970" ht="35.25" customHeight="1">
      <c r="A970" s="5">
        <v>969.0</v>
      </c>
      <c r="B970" s="22" t="s">
        <v>1896</v>
      </c>
      <c r="C970" s="6" t="str">
        <f>IFERROR(__xludf.DUMMYFUNCTION("REGEXEXTRACT(B970, ""^[A-Z0-9-]+"")"),"MT-301")</f>
        <v>MT-301</v>
      </c>
      <c r="D970" s="22" t="s">
        <v>1897</v>
      </c>
      <c r="E970" s="23" t="s">
        <v>87</v>
      </c>
      <c r="F970" s="22" t="s">
        <v>19</v>
      </c>
      <c r="G970" s="8" t="s">
        <v>30</v>
      </c>
      <c r="H970" s="5" t="str">
        <f>IFERROR(__xludf.DUMMYFUNCTION("REGEXEXTRACT(B970, ""\((\d+)\)"")"),"3")</f>
        <v>3</v>
      </c>
      <c r="I970" s="5"/>
      <c r="J970" s="5"/>
      <c r="K970" s="5"/>
      <c r="L970" s="5"/>
    </row>
    <row r="971" ht="35.25" customHeight="1">
      <c r="A971" s="5">
        <v>970.0</v>
      </c>
      <c r="B971" s="22" t="s">
        <v>1898</v>
      </c>
      <c r="C971" s="6" t="str">
        <f>IFERROR(__xludf.DUMMYFUNCTION("REGEXEXTRACT(B971, ""^[A-Z0-9-]+"")"),"MT-302")</f>
        <v>MT-302</v>
      </c>
      <c r="D971" s="22" t="s">
        <v>1899</v>
      </c>
      <c r="E971" s="23" t="s">
        <v>87</v>
      </c>
      <c r="F971" s="22" t="s">
        <v>19</v>
      </c>
      <c r="G971" s="8" t="s">
        <v>33</v>
      </c>
      <c r="H971" s="5" t="str">
        <f>IFERROR(__xludf.DUMMYFUNCTION("REGEXEXTRACT(B971, ""\((\d+)\)"")"),"3")</f>
        <v>3</v>
      </c>
      <c r="I971" s="5"/>
      <c r="J971" s="5"/>
      <c r="K971" s="5"/>
      <c r="L971" s="5"/>
    </row>
    <row r="972" ht="35.25" customHeight="1">
      <c r="A972" s="5">
        <v>971.0</v>
      </c>
      <c r="B972" s="22" t="s">
        <v>1900</v>
      </c>
      <c r="C972" s="6" t="str">
        <f>IFERROR(__xludf.DUMMYFUNCTION("REGEXEXTRACT(B972, ""^[A-Z0-9-]+"")"),"MT-303")</f>
        <v>MT-303</v>
      </c>
      <c r="D972" s="22" t="s">
        <v>1901</v>
      </c>
      <c r="E972" s="23" t="s">
        <v>87</v>
      </c>
      <c r="F972" s="22" t="s">
        <v>15</v>
      </c>
      <c r="G972" s="8" t="s">
        <v>36</v>
      </c>
      <c r="H972" s="5" t="str">
        <f>IFERROR(__xludf.DUMMYFUNCTION("REGEXEXTRACT(B972, ""\((\d+)\)"")"),"4")</f>
        <v>4</v>
      </c>
      <c r="I972" s="5"/>
      <c r="J972" s="5"/>
      <c r="K972" s="5"/>
      <c r="L972" s="5"/>
    </row>
    <row r="973" ht="35.25" customHeight="1">
      <c r="A973" s="5">
        <v>972.0</v>
      </c>
      <c r="B973" s="22" t="s">
        <v>1902</v>
      </c>
      <c r="C973" s="6" t="str">
        <f>IFERROR(__xludf.DUMMYFUNCTION("REGEXEXTRACT(B973, ""^[A-Z0-9-]+"")"),"MT-304")</f>
        <v>MT-304</v>
      </c>
      <c r="D973" s="22" t="s">
        <v>1903</v>
      </c>
      <c r="E973" s="23" t="s">
        <v>87</v>
      </c>
      <c r="F973" s="22" t="s">
        <v>15</v>
      </c>
      <c r="G973" s="8" t="s">
        <v>39</v>
      </c>
      <c r="H973" s="5" t="str">
        <f>IFERROR(__xludf.DUMMYFUNCTION("REGEXEXTRACT(B973, ""\((\d+)\)"")"),"4")</f>
        <v>4</v>
      </c>
      <c r="I973" s="5"/>
      <c r="J973" s="5"/>
      <c r="K973" s="5"/>
      <c r="L973" s="5"/>
    </row>
    <row r="974" ht="35.25" customHeight="1">
      <c r="A974" s="5">
        <v>973.0</v>
      </c>
      <c r="B974" s="22" t="s">
        <v>1904</v>
      </c>
      <c r="C974" s="6" t="str">
        <f>IFERROR(__xludf.DUMMYFUNCTION("REGEXEXTRACT(B974, ""^[A-Z0-9-]+"")"),"MT-501")</f>
        <v>MT-501</v>
      </c>
      <c r="D974" s="22" t="s">
        <v>1905</v>
      </c>
      <c r="E974" s="23" t="s">
        <v>87</v>
      </c>
      <c r="F974" s="22" t="s">
        <v>19</v>
      </c>
      <c r="G974" s="8" t="s">
        <v>12</v>
      </c>
      <c r="H974" s="5" t="str">
        <f>IFERROR(__xludf.DUMMYFUNCTION("REGEXEXTRACT(B974, ""\((\d+)\)"")"),"3")</f>
        <v>3</v>
      </c>
      <c r="I974" s="5"/>
      <c r="J974" s="5"/>
      <c r="K974" s="5"/>
      <c r="L974" s="5"/>
    </row>
    <row r="975" ht="35.25" customHeight="1">
      <c r="A975" s="5">
        <v>974.0</v>
      </c>
      <c r="B975" s="22" t="s">
        <v>1906</v>
      </c>
      <c r="C975" s="6" t="str">
        <f>IFERROR(__xludf.DUMMYFUNCTION("REGEXEXTRACT(B975, ""^[A-Z0-9-]+"")"),"MT-502")</f>
        <v>MT-502</v>
      </c>
      <c r="D975" s="22" t="s">
        <v>1907</v>
      </c>
      <c r="E975" s="23" t="s">
        <v>87</v>
      </c>
      <c r="F975" s="22" t="s">
        <v>19</v>
      </c>
      <c r="G975" s="8" t="s">
        <v>16</v>
      </c>
      <c r="H975" s="5" t="str">
        <f>IFERROR(__xludf.DUMMYFUNCTION("REGEXEXTRACT(B975, ""\((\d+)\)"")"),"3")</f>
        <v>3</v>
      </c>
      <c r="I975" s="5"/>
      <c r="J975" s="5"/>
      <c r="K975" s="5"/>
      <c r="L975" s="5"/>
    </row>
    <row r="976" ht="35.25" customHeight="1">
      <c r="A976" s="5">
        <v>975.0</v>
      </c>
      <c r="B976" s="22" t="s">
        <v>1908</v>
      </c>
      <c r="C976" s="6" t="str">
        <f>IFERROR(__xludf.DUMMYFUNCTION("REGEXEXTRACT(B976, ""^[A-Z0-9-]+"")"),"MT-503")</f>
        <v>MT-503</v>
      </c>
      <c r="D976" s="22" t="s">
        <v>1909</v>
      </c>
      <c r="E976" s="23" t="s">
        <v>87</v>
      </c>
      <c r="F976" s="22" t="s">
        <v>19</v>
      </c>
      <c r="G976" s="8" t="s">
        <v>20</v>
      </c>
      <c r="H976" s="5" t="str">
        <f>IFERROR(__xludf.DUMMYFUNCTION("REGEXEXTRACT(B976, ""\((\d+)\)"")"),"3")</f>
        <v>3</v>
      </c>
      <c r="I976" s="5"/>
      <c r="J976" s="5"/>
      <c r="K976" s="5"/>
      <c r="L976" s="5"/>
    </row>
    <row r="977" ht="35.25" customHeight="1">
      <c r="A977" s="5">
        <v>976.0</v>
      </c>
      <c r="B977" s="22" t="s">
        <v>1910</v>
      </c>
      <c r="C977" s="6" t="str">
        <f>IFERROR(__xludf.DUMMYFUNCTION("REGEXEXTRACT(B977, ""^[A-Z0-9-]+"")"),"MT-504")</f>
        <v>MT-504</v>
      </c>
      <c r="D977" s="22" t="s">
        <v>1911</v>
      </c>
      <c r="E977" s="23" t="s">
        <v>87</v>
      </c>
      <c r="F977" s="22" t="s">
        <v>19</v>
      </c>
      <c r="G977" s="8" t="s">
        <v>24</v>
      </c>
      <c r="H977" s="5" t="str">
        <f>IFERROR(__xludf.DUMMYFUNCTION("REGEXEXTRACT(B977, ""\((\d+)\)"")"),"3")</f>
        <v>3</v>
      </c>
      <c r="I977" s="5"/>
      <c r="J977" s="5"/>
      <c r="K977" s="5"/>
      <c r="L977" s="5"/>
    </row>
    <row r="978" ht="35.25" customHeight="1">
      <c r="A978" s="5">
        <v>977.0</v>
      </c>
      <c r="B978" s="22" t="s">
        <v>1912</v>
      </c>
      <c r="C978" s="6" t="str">
        <f>IFERROR(__xludf.DUMMYFUNCTION("REGEXEXTRACT(B978, ""^[A-Z0-9-]+"")"),"MT-505")</f>
        <v>MT-505</v>
      </c>
      <c r="D978" s="22" t="s">
        <v>1913</v>
      </c>
      <c r="E978" s="23" t="s">
        <v>87</v>
      </c>
      <c r="F978" s="22" t="s">
        <v>19</v>
      </c>
      <c r="G978" s="8" t="s">
        <v>27</v>
      </c>
      <c r="H978" s="5" t="str">
        <f>IFERROR(__xludf.DUMMYFUNCTION("REGEXEXTRACT(B978, ""\((\d+)\)"")"),"3")</f>
        <v>3</v>
      </c>
      <c r="I978" s="5"/>
      <c r="J978" s="5"/>
      <c r="K978" s="5"/>
      <c r="L978" s="5"/>
    </row>
    <row r="979" ht="35.25" customHeight="1">
      <c r="A979" s="5">
        <v>978.0</v>
      </c>
      <c r="B979" s="22" t="s">
        <v>1914</v>
      </c>
      <c r="C979" s="6" t="str">
        <f>IFERROR(__xludf.DUMMYFUNCTION("REGEXEXTRACT(B979, ""^[A-Z0-9-]+"")"),"MT-506")</f>
        <v>MT-506</v>
      </c>
      <c r="D979" s="22" t="s">
        <v>89</v>
      </c>
      <c r="E979" s="23" t="s">
        <v>87</v>
      </c>
      <c r="F979" s="22" t="s">
        <v>19</v>
      </c>
      <c r="G979" s="8" t="s">
        <v>30</v>
      </c>
      <c r="H979" s="5" t="str">
        <f>IFERROR(__xludf.DUMMYFUNCTION("REGEXEXTRACT(B979, ""\((\d+)\)"")"),"3")</f>
        <v>3</v>
      </c>
      <c r="I979" s="5"/>
      <c r="J979" s="5"/>
      <c r="K979" s="5"/>
      <c r="L979" s="5"/>
    </row>
    <row r="980" ht="35.25" customHeight="1">
      <c r="A980" s="5">
        <v>979.0</v>
      </c>
      <c r="B980" s="22" t="s">
        <v>1915</v>
      </c>
      <c r="C980" s="6" t="str">
        <f>IFERROR(__xludf.DUMMYFUNCTION("REGEXEXTRACT(B980, ""^[A-Z0-9-]+"")"),"MT-507")</f>
        <v>MT-507</v>
      </c>
      <c r="D980" s="22" t="s">
        <v>1916</v>
      </c>
      <c r="E980" s="23" t="s">
        <v>87</v>
      </c>
      <c r="F980" s="22" t="s">
        <v>19</v>
      </c>
      <c r="G980" s="8" t="s">
        <v>33</v>
      </c>
      <c r="H980" s="5" t="str">
        <f>IFERROR(__xludf.DUMMYFUNCTION("REGEXEXTRACT(B980, ""\((\d+)\)"")"),"3")</f>
        <v>3</v>
      </c>
      <c r="I980" s="5"/>
      <c r="J980" s="5"/>
      <c r="K980" s="5"/>
      <c r="L980" s="5"/>
    </row>
    <row r="981" ht="35.25" customHeight="1">
      <c r="A981" s="5">
        <v>980.0</v>
      </c>
      <c r="B981" s="22" t="s">
        <v>1917</v>
      </c>
      <c r="C981" s="6" t="str">
        <f>IFERROR(__xludf.DUMMYFUNCTION("REGEXEXTRACT(B981, ""^[A-Z0-9-]+"")"),"MT-508")</f>
        <v>MT-508</v>
      </c>
      <c r="D981" s="22" t="s">
        <v>1918</v>
      </c>
      <c r="E981" s="23" t="s">
        <v>87</v>
      </c>
      <c r="F981" s="22" t="s">
        <v>19</v>
      </c>
      <c r="G981" s="8" t="s">
        <v>36</v>
      </c>
      <c r="H981" s="5" t="str">
        <f>IFERROR(__xludf.DUMMYFUNCTION("REGEXEXTRACT(B981, ""\((\d+)\)"")"),"3")</f>
        <v>3</v>
      </c>
      <c r="I981" s="5"/>
      <c r="J981" s="5"/>
      <c r="K981" s="5"/>
      <c r="L981" s="5"/>
    </row>
    <row r="982" ht="35.25" customHeight="1">
      <c r="A982" s="5">
        <v>981.0</v>
      </c>
      <c r="B982" s="22" t="s">
        <v>1919</v>
      </c>
      <c r="C982" s="6" t="str">
        <f>IFERROR(__xludf.DUMMYFUNCTION("REGEXEXTRACT(B982, ""^[A-Z0-9-]+"")"),"MT-509")</f>
        <v>MT-509</v>
      </c>
      <c r="D982" s="22" t="s">
        <v>1920</v>
      </c>
      <c r="E982" s="23" t="s">
        <v>87</v>
      </c>
      <c r="F982" s="22" t="s">
        <v>19</v>
      </c>
      <c r="G982" s="8" t="s">
        <v>39</v>
      </c>
      <c r="H982" s="5" t="str">
        <f>IFERROR(__xludf.DUMMYFUNCTION("REGEXEXTRACT(B982, ""\((\d+)\)"")"),"3")</f>
        <v>3</v>
      </c>
      <c r="I982" s="5"/>
      <c r="J982" s="5"/>
      <c r="K982" s="5"/>
      <c r="L982" s="5"/>
    </row>
    <row r="983" ht="35.25" customHeight="1">
      <c r="A983" s="5">
        <v>982.0</v>
      </c>
      <c r="B983" s="22" t="s">
        <v>1921</v>
      </c>
      <c r="C983" s="6" t="str">
        <f>IFERROR(__xludf.DUMMYFUNCTION("REGEXEXTRACT(B983, ""^[A-Z0-9-]+"")"),"MT-510")</f>
        <v>MT-510</v>
      </c>
      <c r="D983" s="22" t="s">
        <v>1922</v>
      </c>
      <c r="E983" s="23" t="s">
        <v>87</v>
      </c>
      <c r="F983" s="22" t="s">
        <v>19</v>
      </c>
      <c r="G983" s="8" t="s">
        <v>12</v>
      </c>
      <c r="H983" s="5" t="str">
        <f>IFERROR(__xludf.DUMMYFUNCTION("REGEXEXTRACT(B983, ""\((\d+)\)"")"),"3")</f>
        <v>3</v>
      </c>
      <c r="I983" s="5"/>
      <c r="J983" s="5"/>
      <c r="K983" s="5"/>
      <c r="L983" s="5"/>
    </row>
    <row r="984" ht="35.25" customHeight="1">
      <c r="A984" s="5">
        <v>983.0</v>
      </c>
      <c r="B984" s="22" t="s">
        <v>1923</v>
      </c>
      <c r="C984" s="6" t="str">
        <f>IFERROR(__xludf.DUMMYFUNCTION("REGEXEXTRACT(B984, ""^[A-Z0-9-]+"")"),"MT-511")</f>
        <v>MT-511</v>
      </c>
      <c r="D984" s="22" t="s">
        <v>1924</v>
      </c>
      <c r="E984" s="23" t="s">
        <v>87</v>
      </c>
      <c r="F984" s="22" t="s">
        <v>19</v>
      </c>
      <c r="G984" s="8" t="s">
        <v>16</v>
      </c>
      <c r="H984" s="5" t="str">
        <f>IFERROR(__xludf.DUMMYFUNCTION("REGEXEXTRACT(B984, ""\((\d+)\)"")"),"3")</f>
        <v>3</v>
      </c>
      <c r="I984" s="5"/>
      <c r="J984" s="5"/>
      <c r="K984" s="5"/>
      <c r="L984" s="5"/>
    </row>
    <row r="985" ht="15.75" customHeight="1">
      <c r="A985" s="5">
        <v>988.0</v>
      </c>
      <c r="B985" s="45" t="s">
        <v>1925</v>
      </c>
      <c r="C985" s="6" t="str">
        <f>IFERROR(__xludf.DUMMYFUNCTION("REGEXEXTRACT(B985, ""^[A-Z0-9-]+"")"),"PH-102P")</f>
        <v>PH-102P</v>
      </c>
      <c r="D985" s="45" t="s">
        <v>1926</v>
      </c>
      <c r="E985" s="34" t="s">
        <v>87</v>
      </c>
      <c r="F985" s="45">
        <v>1.0</v>
      </c>
      <c r="G985" s="8" t="s">
        <v>33</v>
      </c>
      <c r="H985" s="5" t="str">
        <f>IFERROR(__xludf.DUMMYFUNCTION("REGEXEXTRACT(B985, ""\((\d+)\)"")"),"1")</f>
        <v>1</v>
      </c>
      <c r="I985" s="46"/>
      <c r="J985" s="46"/>
      <c r="K985" s="46"/>
      <c r="L985" s="46"/>
    </row>
    <row r="986" ht="24.0" customHeight="1">
      <c r="A986" s="5">
        <v>989.0</v>
      </c>
      <c r="B986" s="47"/>
      <c r="C986" s="6" t="str">
        <f>IFERROR(__xludf.DUMMYFUNCTION("REGEXEXTRACT(B986, ""^[A-Z0-9-]+"")"),"#N/A")</f>
        <v>#N/A</v>
      </c>
      <c r="D986" s="47"/>
      <c r="E986" s="18"/>
      <c r="F986" s="47"/>
      <c r="G986" s="8" t="s">
        <v>36</v>
      </c>
      <c r="H986" s="5" t="str">
        <f>IFERROR(__xludf.DUMMYFUNCTION("REGEXEXTRACT(B986, ""\((\d+)\)"")"),"#N/A")</f>
        <v>#N/A</v>
      </c>
      <c r="I986" s="48"/>
      <c r="J986" s="48"/>
      <c r="K986" s="48"/>
      <c r="L986" s="48"/>
    </row>
    <row r="987" ht="35.25" customHeight="1">
      <c r="A987" s="5">
        <v>990.0</v>
      </c>
      <c r="B987" s="14" t="s">
        <v>1927</v>
      </c>
      <c r="C987" s="6" t="str">
        <f>IFERROR(__xludf.DUMMYFUNCTION("REGEXEXTRACT(B987, ""^[A-Z0-9-]+"")"),"PH-301")</f>
        <v>PH-301</v>
      </c>
      <c r="D987" s="14" t="s">
        <v>1928</v>
      </c>
      <c r="E987" s="15" t="s">
        <v>10</v>
      </c>
      <c r="F987" s="14" t="s">
        <v>713</v>
      </c>
      <c r="G987" s="8" t="s">
        <v>39</v>
      </c>
      <c r="H987" s="5" t="str">
        <f>IFERROR(__xludf.DUMMYFUNCTION("REGEXEXTRACT(B987, ""\((\d+)\)"")"),"3")</f>
        <v>3</v>
      </c>
      <c r="I987" s="5"/>
      <c r="J987" s="5"/>
      <c r="K987" s="5"/>
      <c r="L987" s="5"/>
    </row>
    <row r="988" ht="35.25" customHeight="1">
      <c r="A988" s="5">
        <v>991.0</v>
      </c>
      <c r="B988" s="14" t="s">
        <v>1929</v>
      </c>
      <c r="C988" s="6" t="str">
        <f>IFERROR(__xludf.DUMMYFUNCTION("REGEXEXTRACT(B988, ""^[A-Z0-9-]+"")"),"PH-302")</f>
        <v>PH-302</v>
      </c>
      <c r="D988" s="14" t="s">
        <v>1930</v>
      </c>
      <c r="E988" s="15" t="s">
        <v>10</v>
      </c>
      <c r="F988" s="14" t="s">
        <v>1931</v>
      </c>
      <c r="G988" s="8" t="s">
        <v>12</v>
      </c>
      <c r="H988" s="5" t="str">
        <f>IFERROR(__xludf.DUMMYFUNCTION("REGEXEXTRACT(B988, ""\((\d+)\)"")"),"3")</f>
        <v>3</v>
      </c>
      <c r="I988" s="5"/>
      <c r="J988" s="5"/>
      <c r="K988" s="5"/>
      <c r="L988" s="5"/>
    </row>
    <row r="989" ht="35.25" customHeight="1">
      <c r="A989" s="5">
        <v>993.0</v>
      </c>
      <c r="B989" s="14" t="s">
        <v>1932</v>
      </c>
      <c r="C989" s="6" t="str">
        <f>IFERROR(__xludf.DUMMYFUNCTION("REGEXEXTRACT(B989, ""^[A-Z0-9-]+"")"),"PH-501")</f>
        <v>PH-501</v>
      </c>
      <c r="D989" s="14" t="s">
        <v>1933</v>
      </c>
      <c r="E989" s="15" t="s">
        <v>10</v>
      </c>
      <c r="F989" s="14" t="s">
        <v>19</v>
      </c>
      <c r="G989" s="8" t="s">
        <v>20</v>
      </c>
      <c r="H989" s="5" t="str">
        <f>IFERROR(__xludf.DUMMYFUNCTION("REGEXEXTRACT(B989, ""\((\d+)\)"")"),"3")</f>
        <v>3</v>
      </c>
      <c r="I989" s="5"/>
      <c r="J989" s="5"/>
      <c r="K989" s="5"/>
      <c r="L989" s="5"/>
    </row>
    <row r="990" ht="35.25" customHeight="1">
      <c r="A990" s="5">
        <v>994.0</v>
      </c>
      <c r="B990" s="14" t="s">
        <v>1934</v>
      </c>
      <c r="C990" s="6" t="str">
        <f>IFERROR(__xludf.DUMMYFUNCTION("REGEXEXTRACT(B990, ""^[A-Z0-9-]+"")"),"PH-502")</f>
        <v>PH-502</v>
      </c>
      <c r="D990" s="14" t="s">
        <v>1935</v>
      </c>
      <c r="E990" s="15" t="s">
        <v>10</v>
      </c>
      <c r="F990" s="14" t="s">
        <v>19</v>
      </c>
      <c r="G990" s="8" t="s">
        <v>24</v>
      </c>
      <c r="H990" s="5" t="str">
        <f>IFERROR(__xludf.DUMMYFUNCTION("REGEXEXTRACT(B990, ""\((\d+)\)"")"),"3")</f>
        <v>3</v>
      </c>
      <c r="I990" s="5"/>
      <c r="J990" s="5"/>
      <c r="K990" s="5"/>
      <c r="L990" s="5"/>
    </row>
    <row r="991" ht="35.25" customHeight="1">
      <c r="A991" s="5">
        <v>995.0</v>
      </c>
      <c r="B991" s="14" t="s">
        <v>1936</v>
      </c>
      <c r="C991" s="6" t="str">
        <f>IFERROR(__xludf.DUMMYFUNCTION("REGEXEXTRACT(B991, ""^[A-Z0-9-]+"")"),"PH-503")</f>
        <v>PH-503</v>
      </c>
      <c r="D991" s="14" t="s">
        <v>1937</v>
      </c>
      <c r="E991" s="15" t="s">
        <v>10</v>
      </c>
      <c r="F991" s="14" t="s">
        <v>19</v>
      </c>
      <c r="G991" s="8" t="s">
        <v>27</v>
      </c>
      <c r="H991" s="5" t="str">
        <f>IFERROR(__xludf.DUMMYFUNCTION("REGEXEXTRACT(B991, ""\((\d+)\)"")"),"3")</f>
        <v>3</v>
      </c>
      <c r="I991" s="5"/>
      <c r="J991" s="5"/>
      <c r="K991" s="5"/>
      <c r="L991" s="5"/>
    </row>
    <row r="992" ht="35.25" customHeight="1">
      <c r="A992" s="5">
        <v>996.0</v>
      </c>
      <c r="B992" s="14" t="s">
        <v>1938</v>
      </c>
      <c r="C992" s="6" t="str">
        <f>IFERROR(__xludf.DUMMYFUNCTION("REGEXEXTRACT(B992, ""^[A-Z0-9-]+"")"),"PH-504")</f>
        <v>PH-504</v>
      </c>
      <c r="D992" s="14" t="s">
        <v>1939</v>
      </c>
      <c r="E992" s="15" t="s">
        <v>10</v>
      </c>
      <c r="F992" s="14" t="s">
        <v>19</v>
      </c>
      <c r="G992" s="8" t="s">
        <v>30</v>
      </c>
      <c r="H992" s="5" t="str">
        <f>IFERROR(__xludf.DUMMYFUNCTION("REGEXEXTRACT(B992, ""\((\d+)\)"")"),"3")</f>
        <v>3</v>
      </c>
      <c r="I992" s="5"/>
      <c r="J992" s="5"/>
      <c r="K992" s="5"/>
      <c r="L992" s="5"/>
    </row>
    <row r="993" ht="35.25" customHeight="1">
      <c r="A993" s="5">
        <v>997.0</v>
      </c>
      <c r="B993" s="14" t="s">
        <v>1940</v>
      </c>
      <c r="C993" s="6" t="str">
        <f>IFERROR(__xludf.DUMMYFUNCTION("REGEXEXTRACT(B993, ""^[A-Z0-9-]+"")"),"PH-505")</f>
        <v>PH-505</v>
      </c>
      <c r="D993" s="14" t="s">
        <v>1941</v>
      </c>
      <c r="E993" s="15" t="s">
        <v>10</v>
      </c>
      <c r="F993" s="14" t="s">
        <v>19</v>
      </c>
      <c r="G993" s="8" t="s">
        <v>33</v>
      </c>
      <c r="H993" s="5" t="str">
        <f>IFERROR(__xludf.DUMMYFUNCTION("REGEXEXTRACT(B993, ""\((\d+)\)"")"),"3")</f>
        <v>3</v>
      </c>
      <c r="I993" s="5"/>
      <c r="J993" s="5"/>
      <c r="K993" s="5"/>
      <c r="L993" s="5"/>
    </row>
    <row r="994" ht="35.25" customHeight="1">
      <c r="A994" s="5">
        <v>998.0</v>
      </c>
      <c r="B994" s="35" t="s">
        <v>1942</v>
      </c>
      <c r="C994" s="6" t="str">
        <f>IFERROR(__xludf.DUMMYFUNCTION("REGEXEXTRACT(B994, ""^[A-Z0-9-]+"")"),"PH-506")</f>
        <v>PH-506</v>
      </c>
      <c r="D994" s="18" t="s">
        <v>1943</v>
      </c>
      <c r="E994" s="49" t="s">
        <v>87</v>
      </c>
      <c r="F994" s="35">
        <v>3.0</v>
      </c>
      <c r="G994" s="8" t="s">
        <v>36</v>
      </c>
      <c r="H994" s="5" t="str">
        <f>IFERROR(__xludf.DUMMYFUNCTION("REGEXEXTRACT(B994, ""\((\d+)\)"")"),"3")</f>
        <v>3</v>
      </c>
      <c r="I994" s="20"/>
      <c r="J994" s="20"/>
      <c r="K994" s="20"/>
      <c r="L994" s="20"/>
    </row>
    <row r="995" ht="35.25" customHeight="1">
      <c r="A995" s="5">
        <v>999.0</v>
      </c>
      <c r="B995" s="14" t="s">
        <v>1944</v>
      </c>
      <c r="C995" s="6" t="str">
        <f>IFERROR(__xludf.DUMMYFUNCTION("REGEXEXTRACT(B995, ""^[A-Z0-9-]+"")"),"PH-507")</f>
        <v>PH-507</v>
      </c>
      <c r="D995" s="14" t="s">
        <v>1945</v>
      </c>
      <c r="E995" s="15" t="s">
        <v>10</v>
      </c>
      <c r="F995" s="14" t="s">
        <v>19</v>
      </c>
      <c r="G995" s="8" t="s">
        <v>39</v>
      </c>
      <c r="H995" s="5" t="str">
        <f>IFERROR(__xludf.DUMMYFUNCTION("REGEXEXTRACT(B995, ""\((\d+)\)"")"),"3")</f>
        <v>3</v>
      </c>
      <c r="I995" s="5"/>
      <c r="J995" s="5"/>
      <c r="K995" s="5"/>
      <c r="L995" s="5"/>
    </row>
    <row r="996" ht="35.25" customHeight="1">
      <c r="A996" s="5">
        <v>1000.0</v>
      </c>
      <c r="B996" s="14" t="s">
        <v>1946</v>
      </c>
      <c r="C996" s="6" t="str">
        <f>IFERROR(__xludf.DUMMYFUNCTION("REGEXEXTRACT(B996, ""^[A-Z0-9-]+"")"),"PH-508")</f>
        <v>PH-508</v>
      </c>
      <c r="D996" s="14" t="s">
        <v>1947</v>
      </c>
      <c r="E996" s="15" t="s">
        <v>10</v>
      </c>
      <c r="F996" s="14" t="s">
        <v>19</v>
      </c>
      <c r="G996" s="8" t="s">
        <v>12</v>
      </c>
      <c r="H996" s="5" t="str">
        <f>IFERROR(__xludf.DUMMYFUNCTION("REGEXEXTRACT(B996, ""\((\d+)\)"")"),"3")</f>
        <v>3</v>
      </c>
      <c r="I996" s="5"/>
      <c r="J996" s="5"/>
      <c r="K996" s="5"/>
      <c r="L996" s="5"/>
    </row>
    <row r="997" ht="35.25" customHeight="1">
      <c r="A997" s="5">
        <v>1001.0</v>
      </c>
      <c r="B997" s="14" t="s">
        <v>1948</v>
      </c>
      <c r="C997" s="6" t="str">
        <f>IFERROR(__xludf.DUMMYFUNCTION("REGEXEXTRACT(B997, ""^[A-Z0-9-]+"")"),"PH-511")</f>
        <v>PH-511</v>
      </c>
      <c r="D997" s="14" t="s">
        <v>1949</v>
      </c>
      <c r="E997" s="15" t="s">
        <v>10</v>
      </c>
      <c r="F997" s="14" t="s">
        <v>435</v>
      </c>
      <c r="G997" s="8" t="s">
        <v>16</v>
      </c>
      <c r="H997" s="5" t="str">
        <f>IFERROR(__xludf.DUMMYFUNCTION("REGEXEXTRACT(B997, ""\((\d+)\)"")"),"4")</f>
        <v>4</v>
      </c>
      <c r="I997" s="5"/>
      <c r="J997" s="5"/>
      <c r="K997" s="5"/>
      <c r="L997" s="5"/>
    </row>
    <row r="998" ht="35.25" customHeight="1">
      <c r="A998" s="5">
        <v>1002.0</v>
      </c>
      <c r="B998" s="14" t="s">
        <v>1950</v>
      </c>
      <c r="C998" s="6" t="str">
        <f>IFERROR(__xludf.DUMMYFUNCTION("REGEXEXTRACT(B998, ""^[A-Z0-9-]+"")"),"PH-512")</f>
        <v>PH-512</v>
      </c>
      <c r="D998" s="14" t="s">
        <v>1951</v>
      </c>
      <c r="E998" s="15" t="s">
        <v>10</v>
      </c>
      <c r="F998" s="14" t="s">
        <v>435</v>
      </c>
      <c r="G998" s="8" t="s">
        <v>20</v>
      </c>
      <c r="H998" s="5" t="str">
        <f>IFERROR(__xludf.DUMMYFUNCTION("REGEXEXTRACT(B998, ""\((\d+)\)"")"),"4")</f>
        <v>4</v>
      </c>
      <c r="I998" s="5"/>
      <c r="J998" s="5"/>
      <c r="K998" s="5"/>
      <c r="L998" s="5"/>
    </row>
    <row r="999" ht="35.25" customHeight="1">
      <c r="A999" s="5">
        <v>1003.0</v>
      </c>
      <c r="B999" s="14" t="s">
        <v>1952</v>
      </c>
      <c r="C999" s="6" t="str">
        <f>IFERROR(__xludf.DUMMYFUNCTION("REGEXEXTRACT(B999, ""^[A-Z0-9-]+"")"),"PH-513")</f>
        <v>PH-513</v>
      </c>
      <c r="D999" s="14" t="s">
        <v>1953</v>
      </c>
      <c r="E999" s="15" t="s">
        <v>10</v>
      </c>
      <c r="F999" s="14" t="s">
        <v>19</v>
      </c>
      <c r="G999" s="8" t="s">
        <v>24</v>
      </c>
      <c r="H999" s="5" t="str">
        <f>IFERROR(__xludf.DUMMYFUNCTION("REGEXEXTRACT(B999, ""\((\d+)\)"")"),"3")</f>
        <v>3</v>
      </c>
      <c r="I999" s="5"/>
      <c r="J999" s="5"/>
      <c r="K999" s="5"/>
      <c r="L999" s="5"/>
    </row>
    <row r="1000" ht="35.25" customHeight="1">
      <c r="A1000" s="5">
        <v>1004.0</v>
      </c>
      <c r="B1000" s="14" t="s">
        <v>1954</v>
      </c>
      <c r="C1000" s="6" t="str">
        <f>IFERROR(__xludf.DUMMYFUNCTION("REGEXEXTRACT(B1000, ""^[A-Z0-9-]+"")"),"PH-513")</f>
        <v>PH-513</v>
      </c>
      <c r="D1000" s="14" t="s">
        <v>1955</v>
      </c>
      <c r="E1000" s="15" t="s">
        <v>10</v>
      </c>
      <c r="F1000" s="14" t="s">
        <v>435</v>
      </c>
      <c r="G1000" s="8" t="s">
        <v>27</v>
      </c>
      <c r="H1000" s="5" t="str">
        <f>IFERROR(__xludf.DUMMYFUNCTION("REGEXEXTRACT(B1000, ""\((\d+)\)"")"),"4")</f>
        <v>4</v>
      </c>
      <c r="I1000" s="5"/>
      <c r="J1000" s="5"/>
      <c r="K1000" s="5"/>
      <c r="L1000" s="5"/>
    </row>
    <row r="1001" ht="35.25" customHeight="1">
      <c r="A1001" s="5">
        <v>1005.0</v>
      </c>
      <c r="B1001" s="14" t="s">
        <v>1956</v>
      </c>
      <c r="C1001" s="6" t="str">
        <f>IFERROR(__xludf.DUMMYFUNCTION("REGEXEXTRACT(B1001, ""^[A-Z0-9-]+"")"),"PH-514")</f>
        <v>PH-514</v>
      </c>
      <c r="D1001" s="14" t="s">
        <v>1957</v>
      </c>
      <c r="E1001" s="15" t="s">
        <v>87</v>
      </c>
      <c r="F1001" s="14" t="s">
        <v>19</v>
      </c>
      <c r="G1001" s="8" t="s">
        <v>30</v>
      </c>
      <c r="H1001" s="5" t="str">
        <f>IFERROR(__xludf.DUMMYFUNCTION("REGEXEXTRACT(B1001, ""\((\d+)\)"")"),"3")</f>
        <v>3</v>
      </c>
      <c r="I1001" s="5"/>
      <c r="J1001" s="5"/>
      <c r="K1001" s="5"/>
      <c r="L1001" s="5"/>
    </row>
    <row r="1002" ht="35.25" customHeight="1">
      <c r="A1002" s="5">
        <v>1006.0</v>
      </c>
      <c r="B1002" s="14" t="s">
        <v>1958</v>
      </c>
      <c r="C1002" s="6" t="str">
        <f>IFERROR(__xludf.DUMMYFUNCTION("REGEXEXTRACT(B1002, ""^[A-Z0-9-]+"")"),"PH-514")</f>
        <v>PH-514</v>
      </c>
      <c r="D1002" s="14" t="s">
        <v>1959</v>
      </c>
      <c r="E1002" s="15" t="s">
        <v>10</v>
      </c>
      <c r="F1002" s="14" t="s">
        <v>435</v>
      </c>
      <c r="G1002" s="8" t="s">
        <v>33</v>
      </c>
      <c r="H1002" s="5" t="str">
        <f>IFERROR(__xludf.DUMMYFUNCTION("REGEXEXTRACT(B1002, ""\((\d+)\)"")"),"4")</f>
        <v>4</v>
      </c>
      <c r="I1002" s="5"/>
      <c r="J1002" s="5"/>
      <c r="K1002" s="5"/>
      <c r="L1002" s="5"/>
    </row>
    <row r="1003" ht="35.25" customHeight="1">
      <c r="A1003" s="5">
        <v>1007.0</v>
      </c>
      <c r="B1003" s="14" t="s">
        <v>1960</v>
      </c>
      <c r="C1003" s="6" t="str">
        <f>IFERROR(__xludf.DUMMYFUNCTION("REGEXEXTRACT(B1003, ""^[A-Z0-9-]+"")"),"PH-515P")</f>
        <v>PH-515P</v>
      </c>
      <c r="D1003" s="14" t="s">
        <v>1961</v>
      </c>
      <c r="E1003" s="15" t="s">
        <v>10</v>
      </c>
      <c r="F1003" s="14" t="s">
        <v>1962</v>
      </c>
      <c r="G1003" s="8" t="s">
        <v>36</v>
      </c>
      <c r="H1003" s="5" t="str">
        <f>IFERROR(__xludf.DUMMYFUNCTION("REGEXEXTRACT(B1003, ""\((\d+)\)"")"),"3")</f>
        <v>3</v>
      </c>
      <c r="I1003" s="5"/>
      <c r="J1003" s="5"/>
      <c r="K1003" s="5"/>
      <c r="L1003" s="5"/>
    </row>
    <row r="1004" ht="35.25" customHeight="1">
      <c r="A1004" s="5">
        <v>1008.0</v>
      </c>
      <c r="B1004" s="14" t="s">
        <v>1963</v>
      </c>
      <c r="C1004" s="6" t="str">
        <f>IFERROR(__xludf.DUMMYFUNCTION("REGEXEXTRACT(B1004, ""^[A-Z0-9-]+"")"),"PH-516")</f>
        <v>PH-516</v>
      </c>
      <c r="D1004" s="14" t="s">
        <v>1964</v>
      </c>
      <c r="E1004" s="15" t="s">
        <v>10</v>
      </c>
      <c r="F1004" s="14" t="s">
        <v>331</v>
      </c>
      <c r="G1004" s="8" t="s">
        <v>39</v>
      </c>
      <c r="H1004" s="5" t="str">
        <f>IFERROR(__xludf.DUMMYFUNCTION("REGEXEXTRACT(B1004, ""\((\d+)\)"")"),"2")</f>
        <v>2</v>
      </c>
      <c r="I1004" s="5"/>
      <c r="J1004" s="5"/>
      <c r="K1004" s="5"/>
      <c r="L1004" s="5"/>
    </row>
    <row r="1005" ht="35.25" customHeight="1">
      <c r="A1005" s="5">
        <v>1009.0</v>
      </c>
      <c r="B1005" s="14" t="s">
        <v>1965</v>
      </c>
      <c r="C1005" s="6" t="str">
        <f>IFERROR(__xludf.DUMMYFUNCTION("REGEXEXTRACT(B1005, ""^[A-Z0-9-]+"")"),"PH-517")</f>
        <v>PH-517</v>
      </c>
      <c r="D1005" s="14" t="s">
        <v>1966</v>
      </c>
      <c r="E1005" s="15" t="s">
        <v>10</v>
      </c>
      <c r="F1005" s="14" t="s">
        <v>92</v>
      </c>
      <c r="G1005" s="8" t="s">
        <v>12</v>
      </c>
      <c r="H1005" s="5" t="str">
        <f>IFERROR(__xludf.DUMMYFUNCTION("REGEXEXTRACT(B1005, ""\((\d+)\)"")"),"4")</f>
        <v>4</v>
      </c>
      <c r="I1005" s="5"/>
      <c r="J1005" s="5"/>
      <c r="K1005" s="5"/>
      <c r="L1005" s="5"/>
    </row>
    <row r="1006" ht="35.25" customHeight="1">
      <c r="A1006" s="5">
        <v>1010.0</v>
      </c>
      <c r="B1006" s="14" t="s">
        <v>1967</v>
      </c>
      <c r="C1006" s="6" t="str">
        <f>IFERROR(__xludf.DUMMYFUNCTION("REGEXEXTRACT(B1006, ""^[A-Z0-9-]+"")"),"PH")</f>
        <v>PH</v>
      </c>
      <c r="D1006" s="14" t="s">
        <v>497</v>
      </c>
      <c r="E1006" s="15" t="s">
        <v>10</v>
      </c>
      <c r="F1006" s="14" t="s">
        <v>345</v>
      </c>
      <c r="G1006" s="8" t="s">
        <v>16</v>
      </c>
      <c r="H1006" s="5" t="str">
        <f>IFERROR(__xludf.DUMMYFUNCTION("REGEXEXTRACT(B1006, ""\((\d+)\)"")"),"3")</f>
        <v>3</v>
      </c>
      <c r="I1006" s="5"/>
      <c r="J1006" s="5"/>
      <c r="K1006" s="5"/>
      <c r="L1006" s="5"/>
    </row>
    <row r="1007" ht="35.25" customHeight="1">
      <c r="A1007" s="5">
        <v>1011.0</v>
      </c>
      <c r="B1007" s="14" t="s">
        <v>1968</v>
      </c>
      <c r="C1007" s="6" t="str">
        <f>IFERROR(__xludf.DUMMYFUNCTION("REGEXEXTRACT(B1007, ""^[A-Z0-9-]+"")"),"PH")</f>
        <v>PH</v>
      </c>
      <c r="D1007" s="14" t="s">
        <v>1969</v>
      </c>
      <c r="E1007" s="15" t="s">
        <v>10</v>
      </c>
      <c r="F1007" s="14" t="s">
        <v>909</v>
      </c>
      <c r="G1007" s="8" t="s">
        <v>20</v>
      </c>
      <c r="H1007" s="5" t="str">
        <f>IFERROR(__xludf.DUMMYFUNCTION("REGEXEXTRACT(B1007, ""\((\d+)\)"")"),"8")</f>
        <v>8</v>
      </c>
      <c r="I1007" s="5"/>
      <c r="J1007" s="5"/>
      <c r="K1007" s="5"/>
      <c r="L1007" s="5"/>
    </row>
    <row r="1008" ht="35.25" customHeight="1">
      <c r="A1008" s="5">
        <v>1012.0</v>
      </c>
      <c r="B1008" s="14" t="s">
        <v>1970</v>
      </c>
      <c r="C1008" s="6" t="str">
        <f>IFERROR(__xludf.DUMMYFUNCTION("REGEXEXTRACT(B1008, ""^[A-Z0-9-]+"")"),"PH-521")</f>
        <v>PH-521</v>
      </c>
      <c r="D1008" s="14" t="s">
        <v>1971</v>
      </c>
      <c r="E1008" s="15" t="s">
        <v>10</v>
      </c>
      <c r="F1008" s="14" t="s">
        <v>435</v>
      </c>
      <c r="G1008" s="8" t="s">
        <v>24</v>
      </c>
      <c r="H1008" s="5" t="str">
        <f>IFERROR(__xludf.DUMMYFUNCTION("REGEXEXTRACT(B1008, ""\((\d+)\)"")"),"4")</f>
        <v>4</v>
      </c>
      <c r="I1008" s="5"/>
      <c r="J1008" s="5"/>
      <c r="K1008" s="5"/>
      <c r="L1008" s="5"/>
    </row>
    <row r="1009" ht="35.25" customHeight="1">
      <c r="A1009" s="5">
        <v>1013.0</v>
      </c>
      <c r="B1009" s="14" t="s">
        <v>1972</v>
      </c>
      <c r="C1009" s="6" t="str">
        <f>IFERROR(__xludf.DUMMYFUNCTION("REGEXEXTRACT(B1009, ""^[A-Z0-9-]+"")"),"PH-522")</f>
        <v>PH-522</v>
      </c>
      <c r="D1009" s="14" t="s">
        <v>1973</v>
      </c>
      <c r="E1009" s="15" t="s">
        <v>10</v>
      </c>
      <c r="F1009" s="14" t="s">
        <v>435</v>
      </c>
      <c r="G1009" s="8" t="s">
        <v>27</v>
      </c>
      <c r="H1009" s="5" t="str">
        <f>IFERROR(__xludf.DUMMYFUNCTION("REGEXEXTRACT(B1009, ""\((\d+)\)"")"),"4")</f>
        <v>4</v>
      </c>
      <c r="I1009" s="5"/>
      <c r="J1009" s="5"/>
      <c r="K1009" s="5"/>
      <c r="L1009" s="5"/>
    </row>
    <row r="1010" ht="35.25" customHeight="1">
      <c r="A1010" s="5">
        <v>1014.0</v>
      </c>
      <c r="B1010" s="14" t="s">
        <v>1974</v>
      </c>
      <c r="C1010" s="6" t="str">
        <f>IFERROR(__xludf.DUMMYFUNCTION("REGEXEXTRACT(B1010, ""^[A-Z0-9-]+"")"),"PH-523")</f>
        <v>PH-523</v>
      </c>
      <c r="D1010" s="14" t="s">
        <v>1975</v>
      </c>
      <c r="E1010" s="15" t="s">
        <v>10</v>
      </c>
      <c r="F1010" s="14" t="s">
        <v>19</v>
      </c>
      <c r="G1010" s="8" t="s">
        <v>30</v>
      </c>
      <c r="H1010" s="5" t="str">
        <f>IFERROR(__xludf.DUMMYFUNCTION("REGEXEXTRACT(B1010, ""\((\d+)\)"")"),"3")</f>
        <v>3</v>
      </c>
      <c r="I1010" s="5"/>
      <c r="J1010" s="5"/>
      <c r="K1010" s="5"/>
      <c r="L1010" s="5"/>
    </row>
    <row r="1011" ht="35.25" customHeight="1">
      <c r="A1011" s="5">
        <v>1015.0</v>
      </c>
      <c r="B1011" s="14" t="s">
        <v>1976</v>
      </c>
      <c r="C1011" s="6" t="str">
        <f>IFERROR(__xludf.DUMMYFUNCTION("REGEXEXTRACT(B1011, ""^[A-Z0-9-]+"")"),"PH-523")</f>
        <v>PH-523</v>
      </c>
      <c r="D1011" s="14" t="s">
        <v>1975</v>
      </c>
      <c r="E1011" s="15" t="s">
        <v>10</v>
      </c>
      <c r="F1011" s="14" t="s">
        <v>435</v>
      </c>
      <c r="G1011" s="8" t="s">
        <v>33</v>
      </c>
      <c r="H1011" s="5" t="str">
        <f>IFERROR(__xludf.DUMMYFUNCTION("REGEXEXTRACT(B1011, ""\((\d+)\)"")"),"4")</f>
        <v>4</v>
      </c>
      <c r="I1011" s="5"/>
      <c r="J1011" s="5"/>
      <c r="K1011" s="5"/>
      <c r="L1011" s="5"/>
    </row>
    <row r="1012" ht="35.25" customHeight="1">
      <c r="A1012" s="5">
        <v>1016.0</v>
      </c>
      <c r="B1012" s="14" t="s">
        <v>1977</v>
      </c>
      <c r="C1012" s="6" t="str">
        <f>IFERROR(__xludf.DUMMYFUNCTION("REGEXEXTRACT(B1012, ""^[A-Z0-9-]+"")"),"PH-524")</f>
        <v>PH-524</v>
      </c>
      <c r="D1012" s="14" t="s">
        <v>1978</v>
      </c>
      <c r="E1012" s="15" t="s">
        <v>10</v>
      </c>
      <c r="F1012" s="14" t="s">
        <v>435</v>
      </c>
      <c r="G1012" s="8" t="s">
        <v>36</v>
      </c>
      <c r="H1012" s="5" t="str">
        <f>IFERROR(__xludf.DUMMYFUNCTION("REGEXEXTRACT(B1012, ""\((\d+)\)"")"),"4")</f>
        <v>4</v>
      </c>
      <c r="I1012" s="5"/>
      <c r="J1012" s="5"/>
      <c r="K1012" s="5"/>
      <c r="L1012" s="5"/>
    </row>
    <row r="1013" ht="35.25" customHeight="1">
      <c r="A1013" s="5">
        <v>1017.0</v>
      </c>
      <c r="B1013" s="14" t="s">
        <v>1979</v>
      </c>
      <c r="C1013" s="6" t="str">
        <f>IFERROR(__xludf.DUMMYFUNCTION("REGEXEXTRACT(B1013, ""^[A-Z0-9-]+"")"),"PH-524")</f>
        <v>PH-524</v>
      </c>
      <c r="D1013" s="14" t="s">
        <v>1980</v>
      </c>
      <c r="E1013" s="15" t="s">
        <v>10</v>
      </c>
      <c r="F1013" s="14" t="s">
        <v>19</v>
      </c>
      <c r="G1013" s="8" t="s">
        <v>39</v>
      </c>
      <c r="H1013" s="5" t="str">
        <f>IFERROR(__xludf.DUMMYFUNCTION("REGEXEXTRACT(B1013, ""\((\d+)\)"")"),"3")</f>
        <v>3</v>
      </c>
      <c r="I1013" s="5"/>
      <c r="J1013" s="5"/>
      <c r="K1013" s="5"/>
      <c r="L1013" s="5"/>
    </row>
    <row r="1014" ht="35.25" customHeight="1">
      <c r="A1014" s="5">
        <v>1018.0</v>
      </c>
      <c r="B1014" s="14" t="s">
        <v>1981</v>
      </c>
      <c r="C1014" s="6" t="str">
        <f>IFERROR(__xludf.DUMMYFUNCTION("REGEXEXTRACT(B1014, ""^[A-Z0-9-]+"")"),"PH-525P")</f>
        <v>PH-525P</v>
      </c>
      <c r="D1014" s="14" t="s">
        <v>1982</v>
      </c>
      <c r="E1014" s="15" t="s">
        <v>10</v>
      </c>
      <c r="F1014" s="14" t="s">
        <v>1962</v>
      </c>
      <c r="G1014" s="8" t="s">
        <v>12</v>
      </c>
      <c r="H1014" s="5" t="str">
        <f>IFERROR(__xludf.DUMMYFUNCTION("REGEXEXTRACT(B1014, ""\((\d+)\)"")"),"3")</f>
        <v>3</v>
      </c>
      <c r="I1014" s="5"/>
      <c r="J1014" s="5"/>
      <c r="K1014" s="5"/>
      <c r="L1014" s="5"/>
    </row>
    <row r="1015" ht="35.25" customHeight="1">
      <c r="A1015" s="5">
        <v>1019.0</v>
      </c>
      <c r="B1015" s="14" t="s">
        <v>1983</v>
      </c>
      <c r="C1015" s="6" t="str">
        <f>IFERROR(__xludf.DUMMYFUNCTION("REGEXEXTRACT(B1015, ""^[A-Z0-9-]+"")"),"PH-526")</f>
        <v>PH-526</v>
      </c>
      <c r="D1015" s="14" t="s">
        <v>163</v>
      </c>
      <c r="E1015" s="15" t="s">
        <v>10</v>
      </c>
      <c r="F1015" s="14">
        <v>1.0</v>
      </c>
      <c r="G1015" s="8" t="s">
        <v>16</v>
      </c>
      <c r="H1015" s="5" t="str">
        <f>IFERROR(__xludf.DUMMYFUNCTION("REGEXEXTRACT(B1015, ""\((\d+)\)"")"),"1")</f>
        <v>1</v>
      </c>
      <c r="I1015" s="5"/>
      <c r="J1015" s="5"/>
      <c r="K1015" s="5"/>
      <c r="L1015" s="5"/>
    </row>
    <row r="1016" ht="35.25" customHeight="1">
      <c r="A1016" s="5">
        <v>1020.0</v>
      </c>
      <c r="B1016" s="14" t="s">
        <v>1984</v>
      </c>
      <c r="C1016" s="6" t="str">
        <f>IFERROR(__xludf.DUMMYFUNCTION("REGEXEXTRACT(B1016, ""^[A-Z0-9-]+"")"),"PH-526")</f>
        <v>PH-526</v>
      </c>
      <c r="D1016" s="14" t="s">
        <v>1985</v>
      </c>
      <c r="E1016" s="15" t="s">
        <v>10</v>
      </c>
      <c r="F1016" s="14" t="s">
        <v>345</v>
      </c>
      <c r="G1016" s="8" t="s">
        <v>20</v>
      </c>
      <c r="H1016" s="5" t="str">
        <f>IFERROR(__xludf.DUMMYFUNCTION("REGEXEXTRACT(B1016, ""\((\d+)\)"")"),"3")</f>
        <v>3</v>
      </c>
      <c r="I1016" s="5"/>
      <c r="J1016" s="5"/>
      <c r="K1016" s="5"/>
      <c r="L1016" s="5"/>
    </row>
    <row r="1017" ht="35.25" customHeight="1">
      <c r="A1017" s="5">
        <v>1021.0</v>
      </c>
      <c r="B1017" s="14" t="s">
        <v>1986</v>
      </c>
      <c r="C1017" s="6" t="str">
        <f>IFERROR(__xludf.DUMMYFUNCTION("REGEXEXTRACT(B1017, ""^[A-Z0-9-]+"")"),"PH-527")</f>
        <v>PH-527</v>
      </c>
      <c r="D1017" s="14" t="s">
        <v>1987</v>
      </c>
      <c r="E1017" s="15" t="s">
        <v>10</v>
      </c>
      <c r="F1017" s="14">
        <v>2.0</v>
      </c>
      <c r="G1017" s="8" t="s">
        <v>24</v>
      </c>
      <c r="H1017" s="5" t="str">
        <f>IFERROR(__xludf.DUMMYFUNCTION("REGEXEXTRACT(B1017, ""\((\d+)\)"")"),"2")</f>
        <v>2</v>
      </c>
      <c r="I1017" s="5"/>
      <c r="J1017" s="5"/>
      <c r="K1017" s="5"/>
      <c r="L1017" s="5"/>
    </row>
    <row r="1018" ht="35.25" customHeight="1">
      <c r="A1018" s="5">
        <v>1022.0</v>
      </c>
      <c r="B1018" s="14" t="s">
        <v>1988</v>
      </c>
      <c r="C1018" s="6" t="str">
        <f>IFERROR(__xludf.DUMMYFUNCTION("REGEXEXTRACT(B1018, ""^[A-Z0-9-]+"")"),"PH-527")</f>
        <v>PH-527</v>
      </c>
      <c r="D1018" s="14" t="s">
        <v>1989</v>
      </c>
      <c r="E1018" s="15" t="s">
        <v>10</v>
      </c>
      <c r="F1018" s="14" t="s">
        <v>345</v>
      </c>
      <c r="G1018" s="8" t="s">
        <v>27</v>
      </c>
      <c r="H1018" s="5" t="str">
        <f>IFERROR(__xludf.DUMMYFUNCTION("REGEXEXTRACT(B1018, ""\((\d+)\)"")"),"3")</f>
        <v>3</v>
      </c>
      <c r="I1018" s="5"/>
      <c r="J1018" s="5"/>
      <c r="K1018" s="5"/>
      <c r="L1018" s="5"/>
    </row>
    <row r="1019" ht="35.25" customHeight="1">
      <c r="A1019" s="5">
        <v>1023.0</v>
      </c>
      <c r="B1019" s="14" t="s">
        <v>1990</v>
      </c>
      <c r="C1019" s="6" t="str">
        <f>IFERROR(__xludf.DUMMYFUNCTION("REGEXEXTRACT(B1019, ""^[A-Z0-9-]+"")"),"PH-528")</f>
        <v>PH-528</v>
      </c>
      <c r="D1019" s="14" t="s">
        <v>1991</v>
      </c>
      <c r="E1019" s="15" t="s">
        <v>10</v>
      </c>
      <c r="F1019" s="14" t="s">
        <v>19</v>
      </c>
      <c r="G1019" s="8" t="s">
        <v>30</v>
      </c>
      <c r="H1019" s="5" t="str">
        <f>IFERROR(__xludf.DUMMYFUNCTION("REGEXEXTRACT(B1019, ""\((\d+)\)"")"),"3")</f>
        <v>3</v>
      </c>
      <c r="I1019" s="5"/>
      <c r="J1019" s="5"/>
      <c r="K1019" s="5"/>
      <c r="L1019" s="5"/>
    </row>
    <row r="1020" ht="35.25" customHeight="1">
      <c r="A1020" s="5">
        <v>1024.0</v>
      </c>
      <c r="B1020" s="9" t="s">
        <v>1992</v>
      </c>
      <c r="C1020" s="6" t="str">
        <f>IFERROR(__xludf.DUMMYFUNCTION("REGEXEXTRACT(B1020, ""^[A-Z0-9-]+"")"),"PH-530")</f>
        <v>PH-530</v>
      </c>
      <c r="D1020" s="9" t="s">
        <v>1993</v>
      </c>
      <c r="E1020" s="10" t="s">
        <v>10</v>
      </c>
      <c r="F1020" s="9" t="s">
        <v>19</v>
      </c>
      <c r="G1020" s="8" t="s">
        <v>33</v>
      </c>
      <c r="H1020" s="5" t="str">
        <f>IFERROR(__xludf.DUMMYFUNCTION("REGEXEXTRACT(B1020, ""\((\d+)\)"")"),"3")</f>
        <v>3</v>
      </c>
      <c r="I1020" s="5"/>
      <c r="J1020" s="5"/>
      <c r="K1020" s="5"/>
      <c r="L1020" s="5"/>
    </row>
    <row r="1021" ht="35.25" customHeight="1">
      <c r="A1021" s="5">
        <v>1025.0</v>
      </c>
      <c r="B1021" s="22" t="s">
        <v>1994</v>
      </c>
      <c r="C1021" s="6" t="str">
        <f>IFERROR(__xludf.DUMMYFUNCTION("REGEXEXTRACT(B1021, ""^[A-Z0-9-]+"")"),"PH-550")</f>
        <v>PH-550</v>
      </c>
      <c r="D1021" s="22" t="s">
        <v>1995</v>
      </c>
      <c r="E1021" s="23" t="s">
        <v>87</v>
      </c>
      <c r="F1021" s="22" t="s">
        <v>19</v>
      </c>
      <c r="G1021" s="8" t="s">
        <v>36</v>
      </c>
      <c r="H1021" s="5" t="str">
        <f>IFERROR(__xludf.DUMMYFUNCTION("REGEXEXTRACT(B1021, ""\((\d+)\)"")"),"3")</f>
        <v>3</v>
      </c>
      <c r="I1021" s="5"/>
      <c r="J1021" s="5"/>
      <c r="K1021" s="5"/>
      <c r="L1021" s="5"/>
    </row>
    <row r="1022" ht="35.25" customHeight="1">
      <c r="A1022" s="5">
        <v>1026.0</v>
      </c>
      <c r="B1022" s="22" t="s">
        <v>1996</v>
      </c>
      <c r="C1022" s="6" t="str">
        <f>IFERROR(__xludf.DUMMYFUNCTION("REGEXEXTRACT(B1022, ""^[A-Z0-9-]+"")"),"PH-579")</f>
        <v>PH-579</v>
      </c>
      <c r="D1022" s="22" t="s">
        <v>1997</v>
      </c>
      <c r="E1022" s="23" t="s">
        <v>87</v>
      </c>
      <c r="F1022" s="22" t="s">
        <v>19</v>
      </c>
      <c r="G1022" s="8" t="s">
        <v>39</v>
      </c>
      <c r="H1022" s="5" t="str">
        <f>IFERROR(__xludf.DUMMYFUNCTION("REGEXEXTRACT(B1022, ""\((\d+)\)"")"),"3")</f>
        <v>3</v>
      </c>
      <c r="I1022" s="5"/>
      <c r="J1022" s="5"/>
      <c r="K1022" s="5"/>
      <c r="L1022" s="5"/>
    </row>
    <row r="1023" ht="35.25" customHeight="1">
      <c r="A1023" s="5">
        <v>1027.0</v>
      </c>
      <c r="B1023" s="9" t="s">
        <v>1998</v>
      </c>
      <c r="C1023" s="6" t="str">
        <f>IFERROR(__xludf.DUMMYFUNCTION("REGEXEXTRACT(B1023, ""^[A-Z0-9-]+"")"),"PH-600")</f>
        <v>PH-600</v>
      </c>
      <c r="D1023" s="9" t="s">
        <v>194</v>
      </c>
      <c r="E1023" s="10" t="s">
        <v>10</v>
      </c>
      <c r="F1023" s="9" t="s">
        <v>77</v>
      </c>
      <c r="G1023" s="8" t="s">
        <v>12</v>
      </c>
      <c r="H1023" s="5" t="str">
        <f>IFERROR(__xludf.DUMMYFUNCTION("REGEXEXTRACT(B1023, ""\((\d+)\)"")"),"1")</f>
        <v>1</v>
      </c>
      <c r="I1023" s="5"/>
      <c r="J1023" s="5"/>
      <c r="K1023" s="5"/>
      <c r="L1023" s="5"/>
    </row>
    <row r="1024" ht="35.25" customHeight="1">
      <c r="A1024" s="5">
        <v>1028.0</v>
      </c>
      <c r="B1024" s="14" t="s">
        <v>1999</v>
      </c>
      <c r="C1024" s="6" t="str">
        <f>IFERROR(__xludf.DUMMYFUNCTION("REGEXEXTRACT(B1024, ""^[A-Z0-9-]+"")"),"PH-601")</f>
        <v>PH-601</v>
      </c>
      <c r="D1024" s="14" t="s">
        <v>2000</v>
      </c>
      <c r="E1024" s="15" t="s">
        <v>10</v>
      </c>
      <c r="F1024" s="14" t="s">
        <v>19</v>
      </c>
      <c r="G1024" s="8" t="s">
        <v>16</v>
      </c>
      <c r="H1024" s="5" t="str">
        <f>IFERROR(__xludf.DUMMYFUNCTION("REGEXEXTRACT(B1024, ""\((\d+)\)"")"),"3")</f>
        <v>3</v>
      </c>
      <c r="I1024" s="5"/>
      <c r="J1024" s="5"/>
      <c r="K1024" s="5"/>
      <c r="L1024" s="5"/>
    </row>
    <row r="1025" ht="35.25" customHeight="1">
      <c r="A1025" s="5">
        <v>1029.0</v>
      </c>
      <c r="B1025" s="14" t="s">
        <v>2001</v>
      </c>
      <c r="C1025" s="6" t="str">
        <f>IFERROR(__xludf.DUMMYFUNCTION("REGEXEXTRACT(B1025, ""^[A-Z0-9-]+"")"),"PH-603")</f>
        <v>PH-603</v>
      </c>
      <c r="D1025" s="14" t="s">
        <v>2002</v>
      </c>
      <c r="E1025" s="15" t="s">
        <v>10</v>
      </c>
      <c r="F1025" s="14" t="s">
        <v>19</v>
      </c>
      <c r="G1025" s="8" t="s">
        <v>20</v>
      </c>
      <c r="H1025" s="5" t="str">
        <f>IFERROR(__xludf.DUMMYFUNCTION("REGEXEXTRACT(B1025, ""\((\d+)\)"")"),"3")</f>
        <v>3</v>
      </c>
      <c r="I1025" s="5"/>
      <c r="J1025" s="5"/>
      <c r="K1025" s="5"/>
      <c r="L1025" s="5"/>
    </row>
    <row r="1026" ht="35.25" customHeight="1">
      <c r="A1026" s="5">
        <v>1030.0</v>
      </c>
      <c r="B1026" s="14" t="s">
        <v>2003</v>
      </c>
      <c r="C1026" s="6" t="str">
        <f>IFERROR(__xludf.DUMMYFUNCTION("REGEXEXTRACT(B1026, ""^[A-Z0-9-]+"")"),"PH-604")</f>
        <v>PH-604</v>
      </c>
      <c r="D1026" s="14" t="s">
        <v>2004</v>
      </c>
      <c r="E1026" s="15" t="s">
        <v>10</v>
      </c>
      <c r="F1026" s="14" t="s">
        <v>19</v>
      </c>
      <c r="G1026" s="8" t="s">
        <v>24</v>
      </c>
      <c r="H1026" s="5" t="str">
        <f>IFERROR(__xludf.DUMMYFUNCTION("REGEXEXTRACT(B1026, ""\((\d+)\)"")"),"3")</f>
        <v>3</v>
      </c>
      <c r="I1026" s="5"/>
      <c r="J1026" s="5"/>
      <c r="K1026" s="5"/>
      <c r="L1026" s="5"/>
    </row>
    <row r="1027" ht="35.25" customHeight="1">
      <c r="A1027" s="5">
        <v>1031.0</v>
      </c>
      <c r="B1027" s="14" t="s">
        <v>2005</v>
      </c>
      <c r="C1027" s="6" t="str">
        <f>IFERROR(__xludf.DUMMYFUNCTION("REGEXEXTRACT(B1027, ""^[A-Z0-9-]+"")"),"PH")</f>
        <v>PH</v>
      </c>
      <c r="D1027" s="14" t="s">
        <v>2006</v>
      </c>
      <c r="E1027" s="15" t="s">
        <v>10</v>
      </c>
      <c r="F1027" s="14" t="s">
        <v>19</v>
      </c>
      <c r="G1027" s="8" t="s">
        <v>27</v>
      </c>
      <c r="H1027" s="5" t="str">
        <f>IFERROR(__xludf.DUMMYFUNCTION("REGEXEXTRACT(B1027, ""\((\d+)\)"")"),"3")</f>
        <v>3</v>
      </c>
      <c r="I1027" s="5"/>
      <c r="J1027" s="5"/>
      <c r="K1027" s="5"/>
      <c r="L1027" s="5"/>
    </row>
    <row r="1028" ht="35.25" customHeight="1">
      <c r="A1028" s="5">
        <v>1032.0</v>
      </c>
      <c r="B1028" s="14" t="s">
        <v>2007</v>
      </c>
      <c r="C1028" s="6" t="str">
        <f>IFERROR(__xludf.DUMMYFUNCTION("REGEXEXTRACT(B1028, ""^[A-Z0-9-]+"")"),"PH-606")</f>
        <v>PH-606</v>
      </c>
      <c r="D1028" s="14" t="s">
        <v>2008</v>
      </c>
      <c r="E1028" s="15" t="s">
        <v>10</v>
      </c>
      <c r="F1028" s="14" t="s">
        <v>19</v>
      </c>
      <c r="G1028" s="8" t="s">
        <v>30</v>
      </c>
      <c r="H1028" s="5" t="str">
        <f>IFERROR(__xludf.DUMMYFUNCTION("REGEXEXTRACT(B1028, ""\((\d+)\)"")"),"3")</f>
        <v>3</v>
      </c>
      <c r="I1028" s="5"/>
      <c r="J1028" s="5"/>
      <c r="K1028" s="5"/>
      <c r="L1028" s="5"/>
    </row>
    <row r="1029" ht="35.25" customHeight="1">
      <c r="A1029" s="5">
        <v>1033.0</v>
      </c>
      <c r="B1029" s="14" t="s">
        <v>2009</v>
      </c>
      <c r="C1029" s="6" t="str">
        <f>IFERROR(__xludf.DUMMYFUNCTION("REGEXEXTRACT(B1029, ""^[A-Z0-9-]+"")"),"PH-607")</f>
        <v>PH-607</v>
      </c>
      <c r="D1029" s="14" t="s">
        <v>2010</v>
      </c>
      <c r="E1029" s="15" t="s">
        <v>10</v>
      </c>
      <c r="F1029" s="14" t="s">
        <v>19</v>
      </c>
      <c r="G1029" s="8" t="s">
        <v>33</v>
      </c>
      <c r="H1029" s="5" t="str">
        <f>IFERROR(__xludf.DUMMYFUNCTION("REGEXEXTRACT(B1029, ""\((\d+)\)"")"),"3")</f>
        <v>3</v>
      </c>
      <c r="I1029" s="5"/>
      <c r="J1029" s="5"/>
      <c r="K1029" s="5"/>
      <c r="L1029" s="5"/>
    </row>
    <row r="1030" ht="35.25" customHeight="1">
      <c r="A1030" s="5">
        <v>1034.0</v>
      </c>
      <c r="B1030" s="6" t="s">
        <v>2011</v>
      </c>
      <c r="C1030" s="6" t="str">
        <f>IFERROR(__xludf.DUMMYFUNCTION("REGEXEXTRACT(B1030, ""^[A-Z0-9-]+"")"),"PH-608")</f>
        <v>PH-608</v>
      </c>
      <c r="D1030" s="6" t="s">
        <v>2012</v>
      </c>
      <c r="E1030" s="15" t="s">
        <v>10</v>
      </c>
      <c r="F1030" s="6" t="s">
        <v>1691</v>
      </c>
      <c r="G1030" s="8" t="s">
        <v>36</v>
      </c>
      <c r="H1030" s="5" t="str">
        <f>IFERROR(__xludf.DUMMYFUNCTION("REGEXEXTRACT(B1030, ""\((\d+)\)"")"),"3")</f>
        <v>3</v>
      </c>
      <c r="I1030" s="5"/>
      <c r="J1030" s="5"/>
      <c r="K1030" s="5"/>
      <c r="L1030" s="5"/>
    </row>
    <row r="1031" ht="35.25" customHeight="1">
      <c r="A1031" s="5">
        <v>1035.0</v>
      </c>
      <c r="B1031" s="6" t="s">
        <v>2013</v>
      </c>
      <c r="C1031" s="6" t="str">
        <f>IFERROR(__xludf.DUMMYFUNCTION("REGEXEXTRACT(B1031, ""^[A-Z0-9-]+"")"),"PH-609")</f>
        <v>PH-609</v>
      </c>
      <c r="D1031" s="6" t="s">
        <v>2014</v>
      </c>
      <c r="E1031" s="15" t="s">
        <v>10</v>
      </c>
      <c r="F1031" s="6" t="s">
        <v>19</v>
      </c>
      <c r="G1031" s="8" t="s">
        <v>39</v>
      </c>
      <c r="H1031" s="5" t="str">
        <f>IFERROR(__xludf.DUMMYFUNCTION("REGEXEXTRACT(B1031, ""\((\d+)\)"")"),"3")</f>
        <v>3</v>
      </c>
      <c r="I1031" s="5"/>
      <c r="J1031" s="5"/>
      <c r="K1031" s="5"/>
      <c r="L1031" s="5"/>
    </row>
    <row r="1032" ht="35.25" customHeight="1">
      <c r="A1032" s="5">
        <v>1036.0</v>
      </c>
      <c r="B1032" s="14" t="s">
        <v>2015</v>
      </c>
      <c r="C1032" s="6" t="str">
        <f>IFERROR(__xludf.DUMMYFUNCTION("REGEXEXTRACT(B1032, ""^[A-Z0-9-]+"")"),"PH-611")</f>
        <v>PH-611</v>
      </c>
      <c r="D1032" s="14" t="s">
        <v>2016</v>
      </c>
      <c r="E1032" s="15" t="s">
        <v>10</v>
      </c>
      <c r="F1032" s="14" t="s">
        <v>435</v>
      </c>
      <c r="G1032" s="8" t="s">
        <v>12</v>
      </c>
      <c r="H1032" s="5" t="str">
        <f>IFERROR(__xludf.DUMMYFUNCTION("REGEXEXTRACT(B1032, ""\((\d+)\)"")"),"4")</f>
        <v>4</v>
      </c>
      <c r="I1032" s="5"/>
      <c r="J1032" s="5"/>
      <c r="K1032" s="5"/>
      <c r="L1032" s="5"/>
    </row>
    <row r="1033" ht="35.25" customHeight="1">
      <c r="A1033" s="5">
        <v>1037.0</v>
      </c>
      <c r="B1033" s="14" t="s">
        <v>2017</v>
      </c>
      <c r="C1033" s="6" t="str">
        <f>IFERROR(__xludf.DUMMYFUNCTION("REGEXEXTRACT(B1033, ""^[A-Z0-9-]+"")"),"PH-611P")</f>
        <v>PH-611P</v>
      </c>
      <c r="D1033" s="14" t="s">
        <v>2018</v>
      </c>
      <c r="E1033" s="15" t="s">
        <v>10</v>
      </c>
      <c r="F1033" s="14" t="s">
        <v>2019</v>
      </c>
      <c r="G1033" s="8" t="s">
        <v>16</v>
      </c>
      <c r="H1033" s="5" t="str">
        <f>IFERROR(__xludf.DUMMYFUNCTION("REGEXEXTRACT(B1033, ""\((\d+)\)"")"),"4")</f>
        <v>4</v>
      </c>
      <c r="I1033" s="5"/>
      <c r="J1033" s="5"/>
      <c r="K1033" s="5"/>
      <c r="L1033" s="5"/>
    </row>
    <row r="1034" ht="35.25" customHeight="1">
      <c r="A1034" s="5">
        <v>1038.0</v>
      </c>
      <c r="B1034" s="14" t="s">
        <v>2020</v>
      </c>
      <c r="C1034" s="6" t="str">
        <f>IFERROR(__xludf.DUMMYFUNCTION("REGEXEXTRACT(B1034, ""^[A-Z0-9-]+"")"),"PH-612")</f>
        <v>PH-612</v>
      </c>
      <c r="D1034" s="14" t="s">
        <v>2021</v>
      </c>
      <c r="E1034" s="15" t="s">
        <v>10</v>
      </c>
      <c r="F1034" s="14" t="s">
        <v>435</v>
      </c>
      <c r="G1034" s="8" t="s">
        <v>20</v>
      </c>
      <c r="H1034" s="5" t="str">
        <f>IFERROR(__xludf.DUMMYFUNCTION("REGEXEXTRACT(B1034, ""\((\d+)\)"")"),"4")</f>
        <v>4</v>
      </c>
      <c r="I1034" s="5"/>
      <c r="J1034" s="5"/>
      <c r="K1034" s="5"/>
      <c r="L1034" s="5"/>
    </row>
    <row r="1035" ht="35.25" customHeight="1">
      <c r="A1035" s="5">
        <v>1039.0</v>
      </c>
      <c r="B1035" s="14" t="s">
        <v>2022</v>
      </c>
      <c r="C1035" s="6" t="str">
        <f>IFERROR(__xludf.DUMMYFUNCTION("REGEXEXTRACT(B1035, ""^[A-Z0-9-]+"")"),"PH-612")</f>
        <v>PH-612</v>
      </c>
      <c r="D1035" s="14" t="s">
        <v>2016</v>
      </c>
      <c r="E1035" s="15" t="s">
        <v>10</v>
      </c>
      <c r="F1035" s="14" t="s">
        <v>19</v>
      </c>
      <c r="G1035" s="8" t="s">
        <v>24</v>
      </c>
      <c r="H1035" s="5" t="str">
        <f>IFERROR(__xludf.DUMMYFUNCTION("REGEXEXTRACT(B1035, ""\((\d+)\)"")"),"3")</f>
        <v>3</v>
      </c>
      <c r="I1035" s="5"/>
      <c r="J1035" s="5"/>
      <c r="K1035" s="5"/>
      <c r="L1035" s="5"/>
    </row>
    <row r="1036" ht="35.25" customHeight="1">
      <c r="A1036" s="5">
        <v>1040.0</v>
      </c>
      <c r="B1036" s="14" t="s">
        <v>2023</v>
      </c>
      <c r="C1036" s="6" t="str">
        <f>IFERROR(__xludf.DUMMYFUNCTION("REGEXEXTRACT(B1036, ""^[A-Z0-9-]+"")"),"PH-613")</f>
        <v>PH-613</v>
      </c>
      <c r="D1036" s="14" t="s">
        <v>2024</v>
      </c>
      <c r="E1036" s="15" t="s">
        <v>10</v>
      </c>
      <c r="F1036" s="14" t="s">
        <v>435</v>
      </c>
      <c r="G1036" s="8" t="s">
        <v>27</v>
      </c>
      <c r="H1036" s="5" t="str">
        <f>IFERROR(__xludf.DUMMYFUNCTION("REGEXEXTRACT(B1036, ""\((\d+)\)"")"),"4")</f>
        <v>4</v>
      </c>
      <c r="I1036" s="5"/>
      <c r="J1036" s="5"/>
      <c r="K1036" s="5"/>
      <c r="L1036" s="5"/>
    </row>
    <row r="1037" ht="35.25" customHeight="1">
      <c r="A1037" s="5">
        <v>1041.0</v>
      </c>
      <c r="B1037" s="14" t="s">
        <v>2025</v>
      </c>
      <c r="C1037" s="6" t="str">
        <f>IFERROR(__xludf.DUMMYFUNCTION("REGEXEXTRACT(B1037, ""^[A-Z0-9-]+"")"),"PH-613")</f>
        <v>PH-613</v>
      </c>
      <c r="D1037" s="14" t="s">
        <v>2026</v>
      </c>
      <c r="E1037" s="15" t="s">
        <v>10</v>
      </c>
      <c r="F1037" s="14" t="s">
        <v>19</v>
      </c>
      <c r="G1037" s="8" t="s">
        <v>30</v>
      </c>
      <c r="H1037" s="5" t="str">
        <f>IFERROR(__xludf.DUMMYFUNCTION("REGEXEXTRACT(B1037, ""\((\d+)\)"")"),"3")</f>
        <v>3</v>
      </c>
      <c r="I1037" s="5"/>
      <c r="J1037" s="5"/>
      <c r="K1037" s="5"/>
      <c r="L1037" s="5"/>
    </row>
    <row r="1038" ht="35.25" customHeight="1">
      <c r="A1038" s="5">
        <v>1042.0</v>
      </c>
      <c r="B1038" s="14" t="s">
        <v>2027</v>
      </c>
      <c r="C1038" s="6" t="str">
        <f>IFERROR(__xludf.DUMMYFUNCTION("REGEXEXTRACT(B1038, ""^[A-Z0-9-]+"")"),"PH-614")</f>
        <v>PH-614</v>
      </c>
      <c r="D1038" s="14" t="s">
        <v>2028</v>
      </c>
      <c r="E1038" s="15" t="s">
        <v>10</v>
      </c>
      <c r="F1038" s="14" t="s">
        <v>331</v>
      </c>
      <c r="G1038" s="8" t="s">
        <v>33</v>
      </c>
      <c r="H1038" s="5" t="str">
        <f>IFERROR(__xludf.DUMMYFUNCTION("REGEXEXTRACT(B1038, ""\((\d+)\)"")"),"2")</f>
        <v>2</v>
      </c>
      <c r="I1038" s="5"/>
      <c r="J1038" s="5"/>
      <c r="K1038" s="5"/>
      <c r="L1038" s="5"/>
    </row>
    <row r="1039" ht="35.25" customHeight="1">
      <c r="A1039" s="5">
        <v>1043.0</v>
      </c>
      <c r="B1039" s="14" t="s">
        <v>2029</v>
      </c>
      <c r="C1039" s="6" t="str">
        <f>IFERROR(__xludf.DUMMYFUNCTION("REGEXEXTRACT(B1039, ""^[A-Z0-9-]+"")"),"PH-614P")</f>
        <v>PH-614P</v>
      </c>
      <c r="D1039" s="14" t="s">
        <v>2018</v>
      </c>
      <c r="E1039" s="15" t="s">
        <v>10</v>
      </c>
      <c r="F1039" s="14" t="s">
        <v>2019</v>
      </c>
      <c r="G1039" s="8" t="s">
        <v>36</v>
      </c>
      <c r="H1039" s="5" t="str">
        <f>IFERROR(__xludf.DUMMYFUNCTION("REGEXEXTRACT(B1039, ""\((\d+)\)"")"),"4")</f>
        <v>4</v>
      </c>
      <c r="I1039" s="5"/>
      <c r="J1039" s="5"/>
      <c r="K1039" s="5"/>
      <c r="L1039" s="5"/>
    </row>
    <row r="1040" ht="35.25" customHeight="1">
      <c r="A1040" s="5">
        <v>1044.0</v>
      </c>
      <c r="B1040" s="14" t="s">
        <v>2030</v>
      </c>
      <c r="C1040" s="6" t="str">
        <f>IFERROR(__xludf.DUMMYFUNCTION("REGEXEXTRACT(B1040, ""^[A-Z0-9-]+"")"),"PH-615P")</f>
        <v>PH-615P</v>
      </c>
      <c r="D1040" s="14" t="s">
        <v>2031</v>
      </c>
      <c r="E1040" s="15" t="s">
        <v>10</v>
      </c>
      <c r="F1040" s="14" t="s">
        <v>345</v>
      </c>
      <c r="G1040" s="8" t="s">
        <v>39</v>
      </c>
      <c r="H1040" s="5" t="str">
        <f>IFERROR(__xludf.DUMMYFUNCTION("REGEXEXTRACT(B1040, ""\((\d+)\)"")"),"3")</f>
        <v>3</v>
      </c>
      <c r="I1040" s="5"/>
      <c r="J1040" s="5"/>
      <c r="K1040" s="5"/>
      <c r="L1040" s="5"/>
    </row>
    <row r="1041" ht="35.25" customHeight="1">
      <c r="A1041" s="5">
        <v>1045.0</v>
      </c>
      <c r="B1041" s="14" t="s">
        <v>2032</v>
      </c>
      <c r="C1041" s="6" t="str">
        <f>IFERROR(__xludf.DUMMYFUNCTION("REGEXEXTRACT(B1041, ""^[A-Z0-9-]+"")"),"PH-617")</f>
        <v>PH-617</v>
      </c>
      <c r="D1041" s="14" t="s">
        <v>2033</v>
      </c>
      <c r="E1041" s="15" t="s">
        <v>10</v>
      </c>
      <c r="F1041" s="14">
        <v>2.0</v>
      </c>
      <c r="G1041" s="8" t="s">
        <v>12</v>
      </c>
      <c r="H1041" s="5" t="str">
        <f>IFERROR(__xludf.DUMMYFUNCTION("REGEXEXTRACT(B1041, ""\((\d+)\)"")"),"2")</f>
        <v>2</v>
      </c>
      <c r="I1041" s="5"/>
      <c r="J1041" s="5"/>
      <c r="K1041" s="5"/>
      <c r="L1041" s="5"/>
    </row>
    <row r="1042" ht="35.25" customHeight="1">
      <c r="A1042" s="5">
        <v>1046.0</v>
      </c>
      <c r="B1042" s="14" t="s">
        <v>2034</v>
      </c>
      <c r="C1042" s="6" t="str">
        <f>IFERROR(__xludf.DUMMYFUNCTION("REGEXEXTRACT(B1042, ""^[A-Z0-9-]+"")"),"PH-621")</f>
        <v>PH-621</v>
      </c>
      <c r="D1042" s="14" t="s">
        <v>2035</v>
      </c>
      <c r="E1042" s="15" t="s">
        <v>10</v>
      </c>
      <c r="F1042" s="14" t="s">
        <v>2036</v>
      </c>
      <c r="G1042" s="8" t="s">
        <v>16</v>
      </c>
      <c r="H1042" s="5" t="str">
        <f>IFERROR(__xludf.DUMMYFUNCTION("REGEXEXTRACT(B1042, ""\((\d+)\)"")"),"4")</f>
        <v>4</v>
      </c>
      <c r="I1042" s="5"/>
      <c r="J1042" s="5"/>
      <c r="K1042" s="5"/>
      <c r="L1042" s="5"/>
    </row>
    <row r="1043" ht="35.25" customHeight="1">
      <c r="A1043" s="5">
        <v>1047.0</v>
      </c>
      <c r="B1043" s="14" t="s">
        <v>2037</v>
      </c>
      <c r="C1043" s="6" t="str">
        <f>IFERROR(__xludf.DUMMYFUNCTION("REGEXEXTRACT(B1043, ""^[A-Z0-9-]+"")"),"PH-622")</f>
        <v>PH-622</v>
      </c>
      <c r="D1043" s="14" t="s">
        <v>2038</v>
      </c>
      <c r="E1043" s="15" t="s">
        <v>10</v>
      </c>
      <c r="F1043" s="14" t="s">
        <v>345</v>
      </c>
      <c r="G1043" s="8" t="s">
        <v>20</v>
      </c>
      <c r="H1043" s="5" t="str">
        <f>IFERROR(__xludf.DUMMYFUNCTION("REGEXEXTRACT(B1043, ""\((\d+)\)"")"),"3")</f>
        <v>3</v>
      </c>
      <c r="I1043" s="5"/>
      <c r="J1043" s="5"/>
      <c r="K1043" s="5"/>
      <c r="L1043" s="5"/>
    </row>
    <row r="1044" ht="35.25" customHeight="1">
      <c r="A1044" s="5">
        <v>1048.0</v>
      </c>
      <c r="B1044" s="14" t="s">
        <v>2039</v>
      </c>
      <c r="C1044" s="6" t="str">
        <f>IFERROR(__xludf.DUMMYFUNCTION("REGEXEXTRACT(B1044, ""^[A-Z0-9-]+"")"),"PH-622")</f>
        <v>PH-622</v>
      </c>
      <c r="D1044" s="14" t="s">
        <v>2038</v>
      </c>
      <c r="E1044" s="15" t="s">
        <v>87</v>
      </c>
      <c r="F1044" s="14" t="s">
        <v>909</v>
      </c>
      <c r="G1044" s="8" t="s">
        <v>24</v>
      </c>
      <c r="H1044" s="5" t="str">
        <f>IFERROR(__xludf.DUMMYFUNCTION("REGEXEXTRACT(B1044, ""\((\d+)\)"")"),"8")</f>
        <v>8</v>
      </c>
      <c r="I1044" s="5"/>
      <c r="J1044" s="5"/>
      <c r="K1044" s="5"/>
      <c r="L1044" s="5"/>
    </row>
    <row r="1045" ht="35.25" customHeight="1">
      <c r="A1045" s="5">
        <v>1049.0</v>
      </c>
      <c r="B1045" s="11" t="s">
        <v>2040</v>
      </c>
      <c r="C1045" s="6" t="str">
        <f>IFERROR(__xludf.DUMMYFUNCTION("REGEXEXTRACT(B1045, ""^[A-Z0-9-]+"")"),"PH-625")</f>
        <v>PH-625</v>
      </c>
      <c r="D1045" s="11" t="s">
        <v>2041</v>
      </c>
      <c r="E1045" s="25" t="s">
        <v>10</v>
      </c>
      <c r="F1045" s="11" t="s">
        <v>2036</v>
      </c>
      <c r="G1045" s="8" t="s">
        <v>27</v>
      </c>
      <c r="H1045" s="5" t="str">
        <f>IFERROR(__xludf.DUMMYFUNCTION("REGEXEXTRACT(B1045, ""\((\d+)\)"")"),"4")</f>
        <v>4</v>
      </c>
      <c r="I1045" s="5"/>
      <c r="J1045" s="5"/>
      <c r="K1045" s="5"/>
      <c r="L1045" s="5"/>
    </row>
    <row r="1046" ht="35.25" customHeight="1">
      <c r="A1046" s="5">
        <v>1050.0</v>
      </c>
      <c r="B1046" s="11" t="s">
        <v>2042</v>
      </c>
      <c r="C1046" s="6" t="str">
        <f>IFERROR(__xludf.DUMMYFUNCTION("REGEXEXTRACT(B1046, ""^[A-Z0-9-]+"")"),"PH-626")</f>
        <v>PH-626</v>
      </c>
      <c r="D1046" s="11" t="s">
        <v>2043</v>
      </c>
      <c r="E1046" s="25" t="s">
        <v>10</v>
      </c>
      <c r="F1046" s="11" t="s">
        <v>19</v>
      </c>
      <c r="G1046" s="8" t="s">
        <v>30</v>
      </c>
      <c r="H1046" s="5" t="str">
        <f>IFERROR(__xludf.DUMMYFUNCTION("REGEXEXTRACT(B1046, ""\((\d+)\)"")"),"3")</f>
        <v>3</v>
      </c>
      <c r="I1046" s="5"/>
      <c r="J1046" s="5"/>
      <c r="K1046" s="5"/>
      <c r="L1046" s="5"/>
    </row>
    <row r="1047" ht="35.25" customHeight="1">
      <c r="A1047" s="5">
        <v>1051.0</v>
      </c>
      <c r="B1047" s="11" t="s">
        <v>2044</v>
      </c>
      <c r="C1047" s="6" t="str">
        <f>IFERROR(__xludf.DUMMYFUNCTION("REGEXEXTRACT(B1047, ""^[A-Z0-9-]+"")"),"PH-627")</f>
        <v>PH-627</v>
      </c>
      <c r="D1047" s="11" t="s">
        <v>2045</v>
      </c>
      <c r="E1047" s="25" t="s">
        <v>10</v>
      </c>
      <c r="F1047" s="11" t="s">
        <v>19</v>
      </c>
      <c r="G1047" s="8" t="s">
        <v>33</v>
      </c>
      <c r="H1047" s="5" t="str">
        <f>IFERROR(__xludf.DUMMYFUNCTION("REGEXEXTRACT(B1047, ""\((\d+)\)"")"),"3")</f>
        <v>3</v>
      </c>
      <c r="I1047" s="5"/>
      <c r="J1047" s="5"/>
      <c r="K1047" s="5"/>
      <c r="L1047" s="5"/>
    </row>
    <row r="1048" ht="35.25" customHeight="1">
      <c r="A1048" s="5">
        <v>1052.0</v>
      </c>
      <c r="B1048" s="14" t="s">
        <v>2046</v>
      </c>
      <c r="C1048" s="6" t="str">
        <f>IFERROR(__xludf.DUMMYFUNCTION("REGEXEXTRACT(B1048, ""^[A-Z0-9-]+"")"),"PH-701")</f>
        <v>PH-701</v>
      </c>
      <c r="D1048" s="14" t="s">
        <v>2047</v>
      </c>
      <c r="E1048" s="25" t="s">
        <v>10</v>
      </c>
      <c r="F1048" s="14" t="s">
        <v>2048</v>
      </c>
      <c r="G1048" s="8" t="s">
        <v>36</v>
      </c>
      <c r="H1048" s="5" t="str">
        <f>IFERROR(__xludf.DUMMYFUNCTION("REGEXEXTRACT(B1048, ""\((\d+)\)"")"),"4")</f>
        <v>4</v>
      </c>
      <c r="I1048" s="5"/>
      <c r="J1048" s="5"/>
      <c r="K1048" s="5"/>
      <c r="L1048" s="5"/>
    </row>
    <row r="1049" ht="35.25" customHeight="1">
      <c r="A1049" s="5">
        <v>1053.0</v>
      </c>
      <c r="B1049" s="14" t="s">
        <v>2049</v>
      </c>
      <c r="C1049" s="6" t="str">
        <f>IFERROR(__xludf.DUMMYFUNCTION("REGEXEXTRACT(B1049, ""^[A-Z0-9-]+"")"),"PH-702")</f>
        <v>PH-702</v>
      </c>
      <c r="D1049" s="14" t="s">
        <v>2050</v>
      </c>
      <c r="E1049" s="25" t="s">
        <v>10</v>
      </c>
      <c r="F1049" s="11" t="s">
        <v>19</v>
      </c>
      <c r="G1049" s="8" t="s">
        <v>39</v>
      </c>
      <c r="H1049" s="5" t="str">
        <f>IFERROR(__xludf.DUMMYFUNCTION("REGEXEXTRACT(B1049, ""\((\d+)\)"")"),"3")</f>
        <v>3</v>
      </c>
      <c r="I1049" s="5"/>
      <c r="J1049" s="5"/>
      <c r="K1049" s="5"/>
      <c r="L1049" s="5"/>
    </row>
    <row r="1050" ht="35.25" customHeight="1">
      <c r="A1050" s="5">
        <v>1054.0</v>
      </c>
      <c r="B1050" s="14" t="s">
        <v>2051</v>
      </c>
      <c r="C1050" s="6" t="str">
        <f>IFERROR(__xludf.DUMMYFUNCTION("REGEXEXTRACT(B1050, ""^[A-Z0-9-]+"")"),"PH-705")</f>
        <v>PH-705</v>
      </c>
      <c r="D1050" s="14" t="s">
        <v>2052</v>
      </c>
      <c r="E1050" s="25" t="s">
        <v>10</v>
      </c>
      <c r="F1050" s="14" t="s">
        <v>314</v>
      </c>
      <c r="G1050" s="8" t="s">
        <v>12</v>
      </c>
      <c r="H1050" s="5" t="str">
        <f>IFERROR(__xludf.DUMMYFUNCTION("REGEXEXTRACT(B1050, ""\((\d+)\)"")"),"4")</f>
        <v>4</v>
      </c>
      <c r="I1050" s="5"/>
      <c r="J1050" s="5"/>
      <c r="K1050" s="5"/>
      <c r="L1050" s="5"/>
    </row>
    <row r="1051" ht="35.25" customHeight="1">
      <c r="A1051" s="5">
        <v>1055.0</v>
      </c>
      <c r="B1051" s="6" t="s">
        <v>2053</v>
      </c>
      <c r="C1051" s="6" t="str">
        <f>IFERROR(__xludf.DUMMYFUNCTION("REGEXEXTRACT(B1051, ""^[A-Z0-9-]+"")"),"PH-706")</f>
        <v>PH-706</v>
      </c>
      <c r="D1051" s="6" t="s">
        <v>2054</v>
      </c>
      <c r="E1051" s="25" t="s">
        <v>10</v>
      </c>
      <c r="F1051" s="6" t="s">
        <v>19</v>
      </c>
      <c r="G1051" s="8" t="s">
        <v>16</v>
      </c>
      <c r="H1051" s="5" t="str">
        <f>IFERROR(__xludf.DUMMYFUNCTION("REGEXEXTRACT(B1051, ""\((\d+)\)"")"),"3")</f>
        <v>3</v>
      </c>
      <c r="I1051" s="5"/>
      <c r="J1051" s="5"/>
      <c r="K1051" s="5"/>
      <c r="L1051" s="5"/>
    </row>
    <row r="1052" ht="35.25" customHeight="1">
      <c r="A1052" s="5">
        <v>1056.0</v>
      </c>
      <c r="B1052" s="9" t="s">
        <v>2055</v>
      </c>
      <c r="C1052" s="6" t="str">
        <f>IFERROR(__xludf.DUMMYFUNCTION("REGEXEXTRACT(B1052, ""^[A-Z0-9-]+"")"),"QS-501P")</f>
        <v>QS-501P</v>
      </c>
      <c r="D1052" s="9" t="s">
        <v>2056</v>
      </c>
      <c r="E1052" s="25" t="s">
        <v>10</v>
      </c>
      <c r="F1052" s="9" t="s">
        <v>1962</v>
      </c>
      <c r="G1052" s="8" t="s">
        <v>20</v>
      </c>
      <c r="H1052" s="5" t="str">
        <f>IFERROR(__xludf.DUMMYFUNCTION("REGEXEXTRACT(B1052, ""\((\d+)\)"")"),"3")</f>
        <v>3</v>
      </c>
      <c r="I1052" s="5"/>
      <c r="J1052" s="5"/>
      <c r="K1052" s="5"/>
      <c r="L1052" s="5"/>
    </row>
    <row r="1053" ht="35.25" customHeight="1">
      <c r="A1053" s="5">
        <v>1057.0</v>
      </c>
      <c r="B1053" s="6" t="s">
        <v>2057</v>
      </c>
      <c r="C1053" s="6" t="str">
        <f>IFERROR(__xludf.DUMMYFUNCTION("REGEXEXTRACT(B1053, ""^[A-Z0-9-]+"")"),"RM-510")</f>
        <v>RM-510</v>
      </c>
      <c r="D1053" s="6" t="s">
        <v>194</v>
      </c>
      <c r="E1053" s="25" t="s">
        <v>10</v>
      </c>
      <c r="F1053" s="6" t="s">
        <v>77</v>
      </c>
      <c r="G1053" s="8" t="s">
        <v>24</v>
      </c>
      <c r="H1053" s="5" t="str">
        <f>IFERROR(__xludf.DUMMYFUNCTION("REGEXEXTRACT(B1053, ""\((\d+)\)"")"),"1")</f>
        <v>1</v>
      </c>
      <c r="I1053" s="5"/>
      <c r="J1053" s="5"/>
      <c r="K1053" s="5"/>
      <c r="L1053" s="5"/>
    </row>
    <row r="1054" ht="35.25" customHeight="1">
      <c r="A1054" s="5">
        <v>1058.0</v>
      </c>
      <c r="B1054" s="14" t="s">
        <v>2058</v>
      </c>
      <c r="C1054" s="6" t="str">
        <f>IFERROR(__xludf.DUMMYFUNCTION("REGEXEXTRACT(B1054, ""^[A-Z0-9-]+"")"),"RM-600")</f>
        <v>RM-600</v>
      </c>
      <c r="D1054" s="14" t="s">
        <v>194</v>
      </c>
      <c r="E1054" s="25" t="s">
        <v>10</v>
      </c>
      <c r="F1054" s="14" t="s">
        <v>77</v>
      </c>
      <c r="G1054" s="8" t="s">
        <v>27</v>
      </c>
      <c r="H1054" s="5" t="str">
        <f>IFERROR(__xludf.DUMMYFUNCTION("REGEXEXTRACT(B1054, ""\((\d+)\)"")"),"1")</f>
        <v>1</v>
      </c>
      <c r="I1054" s="5"/>
      <c r="J1054" s="5"/>
      <c r="K1054" s="5"/>
      <c r="L1054" s="5"/>
    </row>
  </sheetData>
  <printOptions/>
  <pageMargins bottom="0.75" footer="0.0" header="0.0" left="0.7" right="0.7" top="0.75"/>
  <pageSetup orientation="landscape"/>
  <drawing r:id="rId1"/>
</worksheet>
</file>