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showInkAnnotation="0" autoCompressPictures="0"/>
  <mc:AlternateContent xmlns:mc="http://schemas.openxmlformats.org/markup-compatibility/2006">
    <mc:Choice Requires="x15">
      <x15ac:absPath xmlns:x15ac="http://schemas.microsoft.com/office/spreadsheetml/2010/11/ac" url="https://upvedues-my.sharepoint.com/personal/idielam_upv_edu_es/Documents/FOE/Pràctica 8/"/>
    </mc:Choice>
  </mc:AlternateContent>
  <xr:revisionPtr revIDLastSave="638" documentId="8_{5649FC36-C1C0-4A3C-9C2A-4CEE6C79827B}" xr6:coauthVersionLast="45" xr6:coauthVersionMax="45" xr10:uidLastSave="{76EA4EF5-1A8A-4C74-8A61-0F4566CC9762}"/>
  <bookViews>
    <workbookView xWindow="-120" yWindow="-120" windowWidth="29040" windowHeight="15840" tabRatio="500" xr2:uid="{00000000-000D-0000-FFFF-FFFF00000000}"/>
  </bookViews>
  <sheets>
    <sheet name="Ratios" sheetId="1" r:id="rId1"/>
    <sheet name="Amortització y VAN" sheetId="3" r:id="rId2"/>
  </sheets>
  <calcPr calcId="191028"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L11" i="1" l="1"/>
  <c r="L10" i="1"/>
  <c r="C21" i="1"/>
  <c r="E33" i="3"/>
  <c r="K10" i="1"/>
  <c r="K11" i="1"/>
  <c r="K12" i="1"/>
  <c r="K13" i="1"/>
  <c r="K9" i="1"/>
  <c r="E34" i="3"/>
  <c r="D26" i="1"/>
  <c r="E31" i="3"/>
  <c r="F31" i="3"/>
  <c r="G31" i="3"/>
  <c r="H31" i="3"/>
  <c r="I31" i="3"/>
  <c r="J31" i="3"/>
  <c r="K31" i="3"/>
  <c r="L31" i="3"/>
  <c r="D31" i="3"/>
  <c r="E30" i="3"/>
  <c r="F30" i="3"/>
  <c r="G30" i="3"/>
  <c r="H30" i="3"/>
  <c r="I30" i="3"/>
  <c r="J30" i="3"/>
  <c r="K30" i="3"/>
  <c r="L30" i="3"/>
  <c r="D30" i="3"/>
  <c r="R30" i="3"/>
  <c r="S30" i="3"/>
  <c r="T30" i="3"/>
  <c r="U30" i="3"/>
  <c r="V30" i="3"/>
  <c r="W30" i="3"/>
  <c r="X30" i="3"/>
  <c r="E14" i="1"/>
  <c r="H14" i="1"/>
  <c r="D25" i="1"/>
  <c r="Q30" i="3"/>
  <c r="E28" i="3"/>
  <c r="F28" i="3"/>
  <c r="G28" i="3"/>
  <c r="H28" i="3"/>
  <c r="I28" i="3"/>
  <c r="J28" i="3"/>
  <c r="K28" i="3"/>
  <c r="L28" i="3"/>
  <c r="L5" i="1"/>
  <c r="L7" i="1"/>
  <c r="L9" i="1"/>
  <c r="E9" i="1"/>
  <c r="E18" i="1"/>
  <c r="D22" i="1"/>
  <c r="K5" i="1"/>
  <c r="K7" i="1"/>
  <c r="D9" i="1"/>
  <c r="D14" i="1"/>
  <c r="D18" i="1"/>
  <c r="C22" i="1"/>
  <c r="L12" i="1"/>
  <c r="L13" i="1"/>
  <c r="H11" i="1"/>
  <c r="H17" i="1"/>
  <c r="H7" i="1"/>
  <c r="D21" i="1"/>
  <c r="G14" i="1"/>
  <c r="G11" i="1"/>
  <c r="G17" i="1"/>
  <c r="G7" i="1"/>
  <c r="F29" i="3"/>
  <c r="G29" i="3"/>
  <c r="H29" i="3"/>
  <c r="I29" i="3"/>
  <c r="J29" i="3"/>
  <c r="K29" i="3"/>
  <c r="L29" i="3"/>
  <c r="E29" i="3"/>
  <c r="D29" i="3"/>
  <c r="E13" i="3"/>
  <c r="F13" i="3"/>
  <c r="D14" i="3"/>
  <c r="E14" i="3"/>
  <c r="F14" i="3"/>
  <c r="D15" i="3"/>
  <c r="E15" i="3"/>
  <c r="F15" i="3"/>
  <c r="D16" i="3"/>
  <c r="E16" i="3"/>
  <c r="F16" i="3"/>
  <c r="G18" i="1"/>
  <c r="C30" i="1"/>
  <c r="D30" i="1"/>
  <c r="H18" i="1"/>
  <c r="D29" i="1"/>
  <c r="C29" i="1"/>
  <c r="D27" i="1"/>
  <c r="C27" i="1"/>
  <c r="D28" i="1"/>
  <c r="C28" i="1"/>
  <c r="C26" i="1"/>
  <c r="C25" i="1"/>
  <c r="D17" i="3"/>
  <c r="E17" i="3"/>
  <c r="F17" i="3"/>
  <c r="D18" i="3"/>
  <c r="E18" i="3"/>
  <c r="F18" i="3"/>
  <c r="D19" i="3"/>
  <c r="E19" i="3"/>
  <c r="F19" i="3"/>
</calcChain>
</file>

<file path=xl/sharedStrings.xml><?xml version="1.0" encoding="utf-8"?>
<sst xmlns="http://schemas.openxmlformats.org/spreadsheetml/2006/main" count="111" uniqueCount="106">
  <si>
    <t>FOE</t>
  </si>
  <si>
    <t>VIRTUCRIS S.A.</t>
  </si>
  <si>
    <t>BALANÇ DE SITUACIÓ</t>
  </si>
  <si>
    <t>COMPTE DE PÈRDUES I GUANYS</t>
  </si>
  <si>
    <t>Comptes</t>
  </si>
  <si>
    <t>Conceptes</t>
  </si>
  <si>
    <t>31/12/2019,05</t>
  </si>
  <si>
    <t>EPI</t>
  </si>
  <si>
    <t>Vendes</t>
  </si>
  <si>
    <t>Maquinària</t>
  </si>
  <si>
    <t>Cost Variable</t>
  </si>
  <si>
    <t>Elements de transport</t>
  </si>
  <si>
    <t>Fons propis=Patrimoni Net</t>
  </si>
  <si>
    <t>Marge Brut</t>
  </si>
  <si>
    <t>Mobiliari</t>
  </si>
  <si>
    <t>Cost Fix</t>
  </si>
  <si>
    <t>Actiu no Corrent</t>
  </si>
  <si>
    <t>Prèstecs a L.P.</t>
  </si>
  <si>
    <t>BAII</t>
  </si>
  <si>
    <t>Altres Deutes</t>
  </si>
  <si>
    <t>Interessos</t>
  </si>
  <si>
    <t>Existències</t>
  </si>
  <si>
    <t>Pasiu no Corrent</t>
  </si>
  <si>
    <t>BAI</t>
  </si>
  <si>
    <t>Realitzable</t>
  </si>
  <si>
    <t>Proveïdors</t>
  </si>
  <si>
    <t>Impostos</t>
  </si>
  <si>
    <t>Disponible</t>
  </si>
  <si>
    <t>Creditors</t>
  </si>
  <si>
    <t>BN</t>
  </si>
  <si>
    <t>Actiu Corrent</t>
  </si>
  <si>
    <t>Pasiu Corrent</t>
  </si>
  <si>
    <t xml:space="preserve"> </t>
  </si>
  <si>
    <t>Total Pasiu</t>
  </si>
  <si>
    <t>Total Actiu</t>
  </si>
  <si>
    <t>Total Pasiu y Net</t>
  </si>
  <si>
    <t>Rendibilitat</t>
  </si>
  <si>
    <t>Financera ( BN/RP)*100</t>
  </si>
  <si>
    <t>Econòmica (BAII/A)*100</t>
  </si>
  <si>
    <r>
      <t xml:space="preserve">PRÀCTICA LABORATORI: </t>
    </r>
    <r>
      <rPr>
        <b/>
        <sz val="20"/>
        <color rgb="FF0000FF"/>
        <rFont val="Tahoma"/>
        <family val="2"/>
      </rPr>
      <t>FOE PL08</t>
    </r>
  </si>
  <si>
    <t xml:space="preserve">Ratios </t>
  </si>
  <si>
    <t>Liquiditat (AC/PC)</t>
  </si>
  <si>
    <t>Equip de pràctiques: Pastafaris</t>
  </si>
  <si>
    <t>Tresoreria (D+R)/PC</t>
  </si>
  <si>
    <t>Cognoms, nom</t>
  </si>
  <si>
    <t>DNI</t>
  </si>
  <si>
    <t>e-mail</t>
  </si>
  <si>
    <t>Disponibilitat (D/PC)</t>
  </si>
  <si>
    <t>Ivars Grimalt Jaume</t>
  </si>
  <si>
    <t>53947024H</t>
  </si>
  <si>
    <t>jivagri@inf.upv.es</t>
  </si>
  <si>
    <t>Garantia (A/P)</t>
  </si>
  <si>
    <t>Nerea Francés Pérez</t>
  </si>
  <si>
    <t>73588732W</t>
  </si>
  <si>
    <t>nfraper@inf.upv.es</t>
  </si>
  <si>
    <t>Endeutament (P/P+N)</t>
  </si>
  <si>
    <t>Iñaki Diez Lambies</t>
  </si>
  <si>
    <t>21793872S</t>
  </si>
  <si>
    <t>idielam@inf.upv.es</t>
  </si>
  <si>
    <t>Qualitat del Deute (PC/P)</t>
  </si>
  <si>
    <t>Mireia Ribes Ribera</t>
  </si>
  <si>
    <t>26571144A</t>
  </si>
  <si>
    <t>mribrib@inf.upv.es</t>
  </si>
  <si>
    <t>Realitze una anàlisi utilitzant ràtios i comente'ls:</t>
  </si>
  <si>
    <t>Què ocorre amb els resultats si aquesta empresa augmenta les seues vendes un 5%?</t>
  </si>
  <si>
    <t>I si les seues despeses financeres es dupliquen?</t>
  </si>
  <si>
    <t>I si els costos fixos es redueixen en un 10%?</t>
  </si>
  <si>
    <t>Taula amortització sistema francès</t>
  </si>
  <si>
    <t>Nominal</t>
  </si>
  <si>
    <t>Interès</t>
  </si>
  <si>
    <t>5.5%</t>
  </si>
  <si>
    <t>Freqüència de pagaments</t>
  </si>
  <si>
    <t>Anuals</t>
  </si>
  <si>
    <t>Anys</t>
  </si>
  <si>
    <t>Quota</t>
  </si>
  <si>
    <r>
      <t xml:space="preserve">funció financera </t>
    </r>
    <r>
      <rPr>
        <sz val="11"/>
        <color theme="1"/>
        <rFont val="Calibri"/>
        <family val="2"/>
        <scheme val="minor"/>
      </rPr>
      <t>PAGO</t>
    </r>
  </si>
  <si>
    <t>Taula amortització</t>
  </si>
  <si>
    <t xml:space="preserve">Períodes </t>
  </si>
  <si>
    <t xml:space="preserve">Quota </t>
  </si>
  <si>
    <t xml:space="preserve"> Amortització</t>
  </si>
  <si>
    <t xml:space="preserve"> Capital pendent</t>
  </si>
  <si>
    <t>VAN</t>
  </si>
  <si>
    <t>Preu 1 Màquina</t>
  </si>
  <si>
    <t>Ingressos per Vendes any 1</t>
  </si>
  <si>
    <t>k=</t>
  </si>
  <si>
    <t>Increment anual de vendes</t>
  </si>
  <si>
    <t>Períodes</t>
  </si>
  <si>
    <t>Despeses generals</t>
  </si>
  <si>
    <t>Fluxos Nets</t>
  </si>
  <si>
    <t>Cobraments</t>
  </si>
  <si>
    <t>Pagament Prèstec</t>
  </si>
  <si>
    <t>Pagament Gastos Generals</t>
  </si>
  <si>
    <t xml:space="preserve">VAN </t>
  </si>
  <si>
    <r>
      <rPr>
        <i/>
        <sz val="11"/>
        <color theme="1"/>
        <rFont val="Calibri"/>
        <family val="2"/>
        <scheme val="minor"/>
      </rPr>
      <t xml:space="preserve">funció financera </t>
    </r>
    <r>
      <rPr>
        <sz val="11"/>
        <color theme="1"/>
        <rFont val="Calibri"/>
        <family val="2"/>
        <charset val="134"/>
        <scheme val="minor"/>
      </rPr>
      <t>VNA</t>
    </r>
  </si>
  <si>
    <t xml:space="preserve">TIR </t>
  </si>
  <si>
    <r>
      <rPr>
        <i/>
        <sz val="11"/>
        <color theme="1"/>
        <rFont val="Calibri"/>
        <family val="2"/>
        <scheme val="minor"/>
      </rPr>
      <t xml:space="preserve">funció financera </t>
    </r>
    <r>
      <rPr>
        <sz val="11"/>
        <color theme="1"/>
        <rFont val="Calibri"/>
        <family val="2"/>
        <charset val="134"/>
        <scheme val="minor"/>
      </rPr>
      <t>TIR</t>
    </r>
  </si>
  <si>
    <t>Comente els resultats obtinguts.</t>
  </si>
  <si>
    <t>Què ocorreria si la taxa de descompte augmentara en dos punts?</t>
  </si>
  <si>
    <t>Pagament G.G. 13%</t>
  </si>
  <si>
    <t>Al ser el VAN un valor positiu i molt elevat, la inversió de l'empresa seria rendable.</t>
  </si>
  <si>
    <t>Grup al que asistix: 1-B1       Data: 06/05/2020     Hora: 13:00</t>
  </si>
  <si>
    <t>A l'empresa li eixiria menys rendable ja que hauria de pagar més. A més banda, ni VAN ni el TIR no es veu afectat, ja que aquest no té relació amb els pagaments.</t>
  </si>
  <si>
    <t>Si açò ocorrera, la seua rendabilitat financera augmentaria fins a un 31% mentre que l'econòmica s'elevaria fins al 9% al 2019. En quant al 2018, la financera augmentaria fins al 29% i l'econòmica fins el 8%.</t>
  </si>
  <si>
    <t>En l'any 2019 augmenta el benefici fins a 9.904€ que són 7,609 vegades més que 1.287. La rendabilitat financera augmenta a un 44% i l'econòmica fins a un 13%. En l'any 2018 ... En aquest any la rendabilitat financera passa a ser un  41% i l'econòmica un 11%.</t>
  </si>
  <si>
    <t>La liquiditat de l'empresa va augmentar en gran mesura, podent eixir de suspensió de pagament. En quant a la tesoreria, els resultats són millor que els de l'any anterior i òptims per a l'empresa. La disponibilitat ha baixat, lluny dels valors òptims d'aquest paràmentre.  La seua garantia no és massa bona, encara que ha augmentat respecte a l'any anterior i s'ha apropat al 1,5 òptim. Parlant del endeudament, aquest és elevat encara que millor que el de l'any passat, però encara no es troba en un valor òptim. En últim lloc, el ratio de qualitat de la deuda és molt elevat, encara que és millor que al de l'any passat.</t>
  </si>
  <si>
    <t>Observem que al augmentar el doble els interessos (2019), veiem que la rendabilitat financera cau del 4,513% fins al 3,792%, que és un 16% menys rendable. El BAI i el BN baixen en un 16%. A pesar de que els interessos són un dels gastos en aquest cas, prou petit, té un impacte important en aquesta empresa. En canvi, en el cas del 2018, l' impacte és molt més gran, degut a que té un BAII més petit i uns interessos més alts, el BAI i BN disminueixen quasi a la meitat, naturalment, la rendabilitat financera també cau un 53%, de 2,084% a un 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</si>
</sst>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8" formatCode="#,##0.00\ &quot;€&quot;;[Red]\-#,##0.00\ &quot;€&quot;"/>
    <numFmt numFmtId="44" formatCode="_-* #,##0.00\ &quot;€&quot;_-;\-* #,##0.00\ &quot;€&quot;_-;_-* &quot;-&quot;??\ &quot;€&quot;_-;_-@_-"/>
    <numFmt numFmtId="164" formatCode="#,##0.00\ &quot;€&quot;;[Red]#,##0.00\ &quot;€&quot;"/>
    <numFmt numFmtId="165" formatCode="#,##0.00\ &quot;€&quot;"/>
    <numFmt numFmtId="166" formatCode="_-[$€-2]\ * #,##0.00_-;\-[$€-2]\ * #,##0.00_-;_-[$€-2]\ * &quot;-&quot;??_-;_-@_-"/>
    <numFmt numFmtId="172" formatCode="0.000%"/>
  </numFmts>
  <fonts count="16">
    <font>
      <sz val="12"/>
      <color theme="1"/>
      <name val="Calibri"/>
      <family val="2"/>
      <charset val="134"/>
      <scheme val="minor"/>
    </font>
    <font>
      <sz val="11"/>
      <color theme="1"/>
      <name val="Calibri"/>
      <family val="2"/>
      <scheme val="minor"/>
    </font>
    <font>
      <sz val="11"/>
      <color theme="1"/>
      <name val="Calibri"/>
      <family val="2"/>
      <scheme val="minor"/>
    </font>
    <font>
      <u/>
      <sz val="12"/>
      <color theme="10"/>
      <name val="Calibri"/>
      <family val="2"/>
      <charset val="134"/>
      <scheme val="minor"/>
    </font>
    <font>
      <u/>
      <sz val="12"/>
      <color theme="11"/>
      <name val="Calibri"/>
      <family val="2"/>
      <charset val="134"/>
      <scheme val="minor"/>
    </font>
    <font>
      <sz val="12"/>
      <color theme="1"/>
      <name val="Calibri"/>
      <family val="2"/>
      <charset val="134"/>
      <scheme val="minor"/>
    </font>
    <font>
      <b/>
      <sz val="12"/>
      <color theme="1"/>
      <name val="Calibri"/>
      <family val="2"/>
      <scheme val="minor"/>
    </font>
    <font>
      <b/>
      <i/>
      <sz val="12"/>
      <color theme="1"/>
      <name val="Calibri"/>
      <family val="2"/>
      <scheme val="minor"/>
    </font>
    <font>
      <i/>
      <sz val="12"/>
      <color theme="1"/>
      <name val="Calibri"/>
      <family val="2"/>
      <scheme val="minor"/>
    </font>
    <font>
      <b/>
      <sz val="20"/>
      <color theme="1"/>
      <name val="Tahoma"/>
      <family val="2"/>
    </font>
    <font>
      <b/>
      <sz val="20"/>
      <color rgb="FF0000FF"/>
      <name val="Tahoma"/>
      <family val="2"/>
    </font>
    <font>
      <b/>
      <sz val="16"/>
      <color theme="1"/>
      <name val="Tahoma"/>
      <family val="2"/>
    </font>
    <font>
      <b/>
      <sz val="12"/>
      <color theme="1"/>
      <name val="Tahoma"/>
      <family val="2"/>
    </font>
    <font>
      <i/>
      <sz val="11"/>
      <color theme="1"/>
      <name val="Calibri"/>
      <family val="2"/>
      <scheme val="minor"/>
    </font>
    <font>
      <sz val="11"/>
      <color theme="1"/>
      <name val="Calibri"/>
      <family val="2"/>
      <charset val="134"/>
      <scheme val="minor"/>
    </font>
    <font>
      <b/>
      <sz val="11"/>
      <color rgb="FF00000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3"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s>
  <cellStyleXfs count="3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3" fillId="0" borderId="0" applyNumberFormat="0" applyFill="0" applyBorder="0" applyAlignment="0" applyProtection="0"/>
  </cellStyleXfs>
  <cellXfs count="66">
    <xf numFmtId="0" fontId="0" fillId="0" borderId="0" xfId="0"/>
    <xf numFmtId="164" fontId="0" fillId="0" borderId="0" xfId="0" applyNumberFormat="1"/>
    <xf numFmtId="0" fontId="0" fillId="0" borderId="0" xfId="0" applyFill="1"/>
    <xf numFmtId="0" fontId="0" fillId="0" borderId="1" xfId="0" applyBorder="1"/>
    <xf numFmtId="0" fontId="0" fillId="0" borderId="1" xfId="0" applyFill="1" applyBorder="1"/>
    <xf numFmtId="165" fontId="0" fillId="0" borderId="0" xfId="0" applyNumberFormat="1"/>
    <xf numFmtId="10" fontId="0" fillId="0" borderId="0" xfId="0" applyNumberFormat="1"/>
    <xf numFmtId="8" fontId="0" fillId="0" borderId="0" xfId="0" applyNumberFormat="1"/>
    <xf numFmtId="9" fontId="0" fillId="0" borderId="0" xfId="0" applyNumberFormat="1"/>
    <xf numFmtId="165" fontId="0" fillId="0" borderId="1" xfId="0" applyNumberFormat="1" applyBorder="1"/>
    <xf numFmtId="0" fontId="0" fillId="4" borderId="1" xfId="0" applyFill="1" applyBorder="1"/>
    <xf numFmtId="0" fontId="0" fillId="5" borderId="0" xfId="0" applyFill="1"/>
    <xf numFmtId="0" fontId="0" fillId="5" borderId="1" xfId="0" applyFill="1" applyBorder="1"/>
    <xf numFmtId="0" fontId="0" fillId="6" borderId="1" xfId="0" applyFill="1" applyBorder="1"/>
    <xf numFmtId="0" fontId="6" fillId="2" borderId="1" xfId="0" applyFont="1" applyFill="1" applyBorder="1"/>
    <xf numFmtId="0" fontId="6" fillId="3" borderId="1" xfId="0" applyFont="1" applyFill="1" applyBorder="1"/>
    <xf numFmtId="0" fontId="7" fillId="3" borderId="1" xfId="0" applyFont="1" applyFill="1" applyBorder="1"/>
    <xf numFmtId="0" fontId="8" fillId="0" borderId="1" xfId="0" applyFont="1" applyBorder="1"/>
    <xf numFmtId="0" fontId="6" fillId="5" borderId="1" xfId="0" applyFont="1" applyFill="1" applyBorder="1" applyAlignment="1">
      <alignment horizontal="center"/>
    </xf>
    <xf numFmtId="0" fontId="6" fillId="0" borderId="1" xfId="0" applyFont="1" applyBorder="1" applyAlignment="1">
      <alignment horizontal="center"/>
    </xf>
    <xf numFmtId="14" fontId="6" fillId="6" borderId="1" xfId="0" applyNumberFormat="1" applyFont="1" applyFill="1" applyBorder="1"/>
    <xf numFmtId="0" fontId="6" fillId="0" borderId="0" xfId="0" applyFont="1" applyAlignment="1">
      <alignment horizontal="center"/>
    </xf>
    <xf numFmtId="44" fontId="0" fillId="0" borderId="0" xfId="33" applyFont="1"/>
    <xf numFmtId="165" fontId="0" fillId="0" borderId="1" xfId="0" applyNumberFormat="1" applyFill="1" applyBorder="1"/>
    <xf numFmtId="0" fontId="6" fillId="0" borderId="0" xfId="0" applyFont="1"/>
    <xf numFmtId="9" fontId="0" fillId="0" borderId="0" xfId="0" applyNumberFormat="1" applyAlignment="1">
      <alignment horizontal="center"/>
    </xf>
    <xf numFmtId="0" fontId="11" fillId="0" borderId="0" xfId="0" applyFont="1" applyAlignment="1">
      <alignment vertical="center"/>
    </xf>
    <xf numFmtId="0" fontId="12" fillId="0" borderId="0" xfId="0" applyFont="1" applyAlignment="1">
      <alignment vertical="center"/>
    </xf>
    <xf numFmtId="0" fontId="12" fillId="0" borderId="3" xfId="0" applyFont="1" applyBorder="1" applyAlignment="1">
      <alignment horizontal="center" vertical="center" wrapText="1"/>
    </xf>
    <xf numFmtId="0" fontId="9" fillId="0" borderId="0" xfId="0" applyFont="1" applyAlignment="1">
      <alignment horizontal="left" vertical="center"/>
    </xf>
    <xf numFmtId="0" fontId="6" fillId="0" borderId="1" xfId="0" applyFont="1" applyBorder="1"/>
    <xf numFmtId="0" fontId="0" fillId="0" borderId="0" xfId="0" applyBorder="1"/>
    <xf numFmtId="0" fontId="6" fillId="0" borderId="4" xfId="0" applyFont="1" applyBorder="1"/>
    <xf numFmtId="9" fontId="0" fillId="0" borderId="1" xfId="0" applyNumberFormat="1" applyBorder="1"/>
    <xf numFmtId="8" fontId="0" fillId="0" borderId="0" xfId="0" applyNumberFormat="1" applyBorder="1"/>
    <xf numFmtId="44" fontId="0" fillId="0" borderId="1" xfId="33" applyFont="1" applyBorder="1"/>
    <xf numFmtId="10" fontId="0" fillId="0" borderId="1" xfId="0" applyNumberFormat="1" applyBorder="1"/>
    <xf numFmtId="0" fontId="6" fillId="7" borderId="1" xfId="0" applyFont="1" applyFill="1" applyBorder="1" applyAlignment="1">
      <alignment horizontal="center"/>
    </xf>
    <xf numFmtId="165" fontId="6" fillId="7" borderId="1" xfId="0" applyNumberFormat="1" applyFont="1" applyFill="1" applyBorder="1" applyAlignment="1">
      <alignment horizontal="center"/>
    </xf>
    <xf numFmtId="0" fontId="0" fillId="0" borderId="0" xfId="0" applyAlignment="1">
      <alignment horizontal="center"/>
    </xf>
    <xf numFmtId="14" fontId="6" fillId="0" borderId="1" xfId="0" applyNumberFormat="1" applyFont="1" applyBorder="1"/>
    <xf numFmtId="2" fontId="0" fillId="0" borderId="1" xfId="0" applyNumberFormat="1" applyBorder="1"/>
    <xf numFmtId="9" fontId="0" fillId="0" borderId="1" xfId="34" applyFont="1" applyBorder="1"/>
    <xf numFmtId="166" fontId="0" fillId="0" borderId="1" xfId="0" applyNumberFormat="1" applyFill="1" applyBorder="1"/>
    <xf numFmtId="166" fontId="0" fillId="0" borderId="1" xfId="0" applyNumberFormat="1" applyBorder="1"/>
    <xf numFmtId="166" fontId="0" fillId="2" borderId="1" xfId="0" applyNumberFormat="1" applyFill="1" applyBorder="1"/>
    <xf numFmtId="166" fontId="0" fillId="3" borderId="1" xfId="0" applyNumberFormat="1" applyFill="1" applyBorder="1"/>
    <xf numFmtId="166" fontId="0" fillId="4" borderId="1" xfId="0" applyNumberFormat="1" applyFill="1" applyBorder="1"/>
    <xf numFmtId="0" fontId="6" fillId="5" borderId="1" xfId="0" applyFont="1" applyFill="1" applyBorder="1"/>
    <xf numFmtId="0" fontId="13" fillId="0" borderId="0" xfId="0" applyFont="1"/>
    <xf numFmtId="0" fontId="12" fillId="0" borderId="2" xfId="0" applyFont="1" applyBorder="1" applyAlignment="1">
      <alignment horizontal="center" vertical="center" wrapText="1"/>
    </xf>
    <xf numFmtId="0" fontId="0" fillId="0" borderId="0" xfId="0" applyFill="1" applyAlignment="1">
      <alignment horizontal="center"/>
    </xf>
    <xf numFmtId="8" fontId="2" fillId="0" borderId="0" xfId="0" applyNumberFormat="1" applyFont="1"/>
    <xf numFmtId="9" fontId="2" fillId="0" borderId="0" xfId="0" applyNumberFormat="1" applyFont="1"/>
    <xf numFmtId="0" fontId="12" fillId="0" borderId="5" xfId="0" applyFont="1" applyBorder="1" applyAlignment="1">
      <alignment horizontal="center" vertical="center" wrapText="1"/>
    </xf>
    <xf numFmtId="0" fontId="12" fillId="0" borderId="2" xfId="0" applyFont="1" applyBorder="1" applyAlignment="1">
      <alignment horizontal="center" vertical="center" wrapText="1"/>
    </xf>
    <xf numFmtId="0" fontId="3" fillId="0" borderId="5" xfId="35" applyBorder="1" applyAlignment="1">
      <alignment horizontal="center" vertical="center" wrapText="1"/>
    </xf>
    <xf numFmtId="0" fontId="3" fillId="0" borderId="2" xfId="35" applyBorder="1" applyAlignment="1">
      <alignment horizontal="center" vertical="center" wrapText="1"/>
    </xf>
    <xf numFmtId="0" fontId="12" fillId="0" borderId="1" xfId="0" applyFont="1" applyBorder="1" applyAlignment="1">
      <alignment horizontal="center" vertical="center" wrapText="1"/>
    </xf>
    <xf numFmtId="8" fontId="0" fillId="0" borderId="1" xfId="0" applyNumberFormat="1" applyBorder="1"/>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15" fillId="0" borderId="0" xfId="0" applyFont="1"/>
    <xf numFmtId="0" fontId="15" fillId="0" borderId="0" xfId="0" applyFont="1" applyAlignment="1">
      <alignment horizontal="center"/>
    </xf>
    <xf numFmtId="172" fontId="0" fillId="0" borderId="1" xfId="34" applyNumberFormat="1" applyFont="1" applyBorder="1"/>
  </cellXfs>
  <cellStyles count="36">
    <cellStyle name="Hipervínculo" xfId="23" builtinId="8" hidden="1"/>
    <cellStyle name="Hipervínculo" xfId="25" builtinId="8" hidden="1"/>
    <cellStyle name="Hipervínculo" xfId="27" builtinId="8" hidden="1"/>
    <cellStyle name="Hipervínculo" xfId="31" builtinId="8" hidden="1"/>
    <cellStyle name="Hipervínculo" xfId="29" builtinId="8" hidden="1"/>
    <cellStyle name="Hipervínculo" xfId="21" builtinId="8" hidden="1"/>
    <cellStyle name="Hipervínculo" xfId="9" builtinId="8" hidden="1"/>
    <cellStyle name="Hipervínculo" xfId="11" builtinId="8" hidden="1"/>
    <cellStyle name="Hipervínculo" xfId="15" builtinId="8" hidden="1"/>
    <cellStyle name="Hipervínculo" xfId="17" builtinId="8" hidden="1"/>
    <cellStyle name="Hipervínculo" xfId="19" builtinId="8" hidden="1"/>
    <cellStyle name="Hipervínculo" xfId="13" builtinId="8" hidden="1"/>
    <cellStyle name="Hipervínculo" xfId="5" builtinId="8" hidden="1"/>
    <cellStyle name="Hipervínculo" xfId="7" builtinId="8" hidden="1"/>
    <cellStyle name="Hipervínculo" xfId="3" builtinId="8" hidden="1"/>
    <cellStyle name="Hipervínculo" xfId="1" builtinId="8" hidden="1"/>
    <cellStyle name="Hipervínculo" xfId="35" builtinId="8"/>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30" builtinId="9" hidden="1"/>
    <cellStyle name="Hipervínculo visitado" xfId="32" builtinId="9" hidden="1"/>
    <cellStyle name="Hipervínculo visitado" xfId="28"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4" builtinId="9" hidden="1"/>
    <cellStyle name="Hipervínculo visitado" xfId="6" builtinId="9" hidden="1"/>
    <cellStyle name="Hipervínculo visitado" xfId="2" builtinId="9" hidden="1"/>
    <cellStyle name="Moneda" xfId="33" builtinId="4"/>
    <cellStyle name="Normal" xfId="0" builtinId="0"/>
    <cellStyle name="Porcentaje" xfId="34" builtinId="5"/>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nfraper@inf.upv.es" TargetMode="External"/><Relationship Id="rId2" Type="http://schemas.openxmlformats.org/officeDocument/2006/relationships/hyperlink" Target="mailto:idielam@inf.upv.es" TargetMode="External"/><Relationship Id="rId1" Type="http://schemas.openxmlformats.org/officeDocument/2006/relationships/hyperlink" Target="mailto:jivagri@upv.es" TargetMode="External"/><Relationship Id="rId6" Type="http://schemas.openxmlformats.org/officeDocument/2006/relationships/printerSettings" Target="../printerSettings/printerSettings1.bin"/><Relationship Id="rId5" Type="http://schemas.openxmlformats.org/officeDocument/2006/relationships/hyperlink" Target="mailto:mribrib@inf.upv.es" TargetMode="External"/><Relationship Id="rId4" Type="http://schemas.openxmlformats.org/officeDocument/2006/relationships/hyperlink" Target="mailto:jivagri@inf.upv.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2"/>
  <sheetViews>
    <sheetView tabSelected="1" workbookViewId="0">
      <selection activeCell="F40" sqref="F40"/>
    </sheetView>
  </sheetViews>
  <sheetFormatPr baseColWidth="10" defaultColWidth="11" defaultRowHeight="15.75"/>
  <cols>
    <col min="1" max="1" width="5.875" customWidth="1"/>
    <col min="2" max="2" width="21.75" bestFit="1" customWidth="1"/>
    <col min="3" max="3" width="18.875" bestFit="1" customWidth="1"/>
    <col min="4" max="4" width="16.875" customWidth="1"/>
    <col min="5" max="5" width="17.5" customWidth="1"/>
    <col min="6" max="6" width="24" bestFit="1" customWidth="1"/>
    <col min="7" max="7" width="17.125" customWidth="1"/>
    <col min="8" max="8" width="17.625" customWidth="1"/>
    <col min="10" max="10" width="14.625" customWidth="1"/>
    <col min="11" max="12" width="17.5" customWidth="1"/>
  </cols>
  <sheetData>
    <row r="1" spans="1:13">
      <c r="A1" s="24" t="s">
        <v>0</v>
      </c>
    </row>
    <row r="2" spans="1:13">
      <c r="B2" s="48" t="s">
        <v>1</v>
      </c>
      <c r="C2" s="11" t="s">
        <v>2</v>
      </c>
      <c r="D2" s="11"/>
      <c r="J2" s="11" t="s">
        <v>3</v>
      </c>
      <c r="K2" s="11"/>
      <c r="L2" s="11"/>
    </row>
    <row r="4" spans="1:13">
      <c r="C4" s="20" t="s">
        <v>4</v>
      </c>
      <c r="D4" s="20">
        <v>43830</v>
      </c>
      <c r="E4" s="20">
        <v>43465</v>
      </c>
      <c r="F4" s="20" t="s">
        <v>4</v>
      </c>
      <c r="G4" s="20">
        <v>43830</v>
      </c>
      <c r="H4" s="20">
        <v>43465</v>
      </c>
      <c r="J4" s="30" t="s">
        <v>5</v>
      </c>
      <c r="K4" s="40" t="s">
        <v>6</v>
      </c>
      <c r="L4" s="40">
        <v>43465</v>
      </c>
    </row>
    <row r="5" spans="1:13" ht="15" customHeight="1">
      <c r="C5" s="4" t="s">
        <v>7</v>
      </c>
      <c r="D5" s="43">
        <v>6250</v>
      </c>
      <c r="E5" s="43">
        <v>9000</v>
      </c>
      <c r="F5" s="3"/>
      <c r="G5" s="44"/>
      <c r="H5" s="44"/>
      <c r="J5" s="10" t="s">
        <v>8</v>
      </c>
      <c r="K5" s="47">
        <f>229795</f>
        <v>229795</v>
      </c>
      <c r="L5" s="47">
        <f>228184</f>
        <v>228184</v>
      </c>
    </row>
    <row r="6" spans="1:13" ht="15" customHeight="1">
      <c r="C6" s="3" t="s">
        <v>9</v>
      </c>
      <c r="D6" s="44">
        <v>14782</v>
      </c>
      <c r="E6" s="44">
        <v>13376</v>
      </c>
      <c r="F6" s="3"/>
      <c r="G6" s="44"/>
      <c r="H6" s="44"/>
      <c r="J6" s="3" t="s">
        <v>10</v>
      </c>
      <c r="K6" s="44">
        <v>152805</v>
      </c>
      <c r="L6" s="44">
        <v>149100</v>
      </c>
    </row>
    <row r="7" spans="1:13" ht="15" customHeight="1">
      <c r="C7" s="3" t="s">
        <v>11</v>
      </c>
      <c r="D7" s="44">
        <v>4112</v>
      </c>
      <c r="E7" s="44">
        <v>4082</v>
      </c>
      <c r="F7" s="15" t="s">
        <v>12</v>
      </c>
      <c r="G7" s="46">
        <f>D18-G17</f>
        <v>28517</v>
      </c>
      <c r="H7" s="46">
        <f>E18-H17</f>
        <v>26600</v>
      </c>
      <c r="J7" s="10" t="s">
        <v>13</v>
      </c>
      <c r="K7" s="47">
        <f>K5-K6</f>
        <v>76990</v>
      </c>
      <c r="L7" s="47">
        <f>L5-L6</f>
        <v>79084</v>
      </c>
    </row>
    <row r="8" spans="1:13" ht="15" customHeight="1">
      <c r="C8" s="3" t="s">
        <v>14</v>
      </c>
      <c r="D8" s="44">
        <v>499</v>
      </c>
      <c r="E8" s="44">
        <v>660</v>
      </c>
      <c r="F8" s="3"/>
      <c r="G8" s="44"/>
      <c r="H8" s="44"/>
      <c r="J8" s="3" t="s">
        <v>15</v>
      </c>
      <c r="K8" s="44">
        <v>75000</v>
      </c>
      <c r="L8" s="44">
        <v>78000</v>
      </c>
    </row>
    <row r="9" spans="1:13">
      <c r="C9" s="14" t="s">
        <v>16</v>
      </c>
      <c r="D9" s="45">
        <f>D5+D6+D7+D8</f>
        <v>25643</v>
      </c>
      <c r="E9" s="45">
        <f>E5+E6+E7+E8</f>
        <v>27118</v>
      </c>
      <c r="F9" s="3" t="s">
        <v>17</v>
      </c>
      <c r="G9" s="44">
        <v>22582</v>
      </c>
      <c r="H9" s="44">
        <v>17902</v>
      </c>
      <c r="J9" s="10" t="s">
        <v>18</v>
      </c>
      <c r="K9" s="47">
        <f>K7-K8</f>
        <v>1990</v>
      </c>
      <c r="L9" s="47">
        <f>L7-L8</f>
        <v>1084</v>
      </c>
    </row>
    <row r="10" spans="1:13" ht="15" customHeight="1">
      <c r="C10" s="3"/>
      <c r="D10" s="43"/>
      <c r="E10" s="43"/>
      <c r="F10" s="3" t="s">
        <v>19</v>
      </c>
      <c r="G10" s="44"/>
      <c r="H10" s="44">
        <v>4301</v>
      </c>
      <c r="J10" s="3" t="s">
        <v>20</v>
      </c>
      <c r="K10" s="44">
        <f>274</f>
        <v>274</v>
      </c>
      <c r="L10" s="44">
        <f>345</f>
        <v>345</v>
      </c>
    </row>
    <row r="11" spans="1:13">
      <c r="C11" s="3" t="s">
        <v>21</v>
      </c>
      <c r="D11" s="44">
        <v>12000</v>
      </c>
      <c r="E11" s="44">
        <v>10000</v>
      </c>
      <c r="F11" s="15" t="s">
        <v>22</v>
      </c>
      <c r="G11" s="46">
        <f>G9</f>
        <v>22582</v>
      </c>
      <c r="H11" s="46">
        <f>H9+H10</f>
        <v>22203</v>
      </c>
      <c r="I11" s="8"/>
      <c r="J11" s="10" t="s">
        <v>23</v>
      </c>
      <c r="K11" s="47">
        <f>K9-K10</f>
        <v>1716</v>
      </c>
      <c r="L11" s="47">
        <f>L9-L10</f>
        <v>739</v>
      </c>
    </row>
    <row r="12" spans="1:13">
      <c r="C12" s="3" t="s">
        <v>24</v>
      </c>
      <c r="D12" s="44">
        <v>57061</v>
      </c>
      <c r="E12" s="44">
        <v>57640</v>
      </c>
      <c r="F12" s="3" t="s">
        <v>25</v>
      </c>
      <c r="G12" s="44">
        <v>45514</v>
      </c>
      <c r="H12" s="44">
        <v>68049</v>
      </c>
      <c r="I12" s="8">
        <v>0.25</v>
      </c>
      <c r="J12" s="3" t="s">
        <v>26</v>
      </c>
      <c r="K12" s="44">
        <f>K11*0.25</f>
        <v>429</v>
      </c>
      <c r="L12" s="44">
        <f>L11*0.25</f>
        <v>184.75</v>
      </c>
    </row>
    <row r="13" spans="1:13" ht="15" customHeight="1">
      <c r="C13" s="3" t="s">
        <v>27</v>
      </c>
      <c r="D13" s="44">
        <v>7159</v>
      </c>
      <c r="E13" s="44">
        <v>22094</v>
      </c>
      <c r="F13" s="4" t="s">
        <v>28</v>
      </c>
      <c r="G13" s="44">
        <v>5250</v>
      </c>
      <c r="H13" s="44"/>
      <c r="J13" s="10" t="s">
        <v>29</v>
      </c>
      <c r="K13" s="47">
        <f>K11-K12</f>
        <v>1287</v>
      </c>
      <c r="L13" s="47">
        <f>L11-L12</f>
        <v>554.25</v>
      </c>
    </row>
    <row r="14" spans="1:13">
      <c r="C14" s="14" t="s">
        <v>30</v>
      </c>
      <c r="D14" s="45">
        <f>SUM(D11:D13)</f>
        <v>76220</v>
      </c>
      <c r="E14" s="45">
        <f>SUM(E11:E13)</f>
        <v>89734</v>
      </c>
      <c r="F14" s="15" t="s">
        <v>31</v>
      </c>
      <c r="G14" s="46">
        <f>G12+G13</f>
        <v>50764</v>
      </c>
      <c r="H14" s="46">
        <f>H12</f>
        <v>68049</v>
      </c>
    </row>
    <row r="15" spans="1:13">
      <c r="C15" s="3"/>
      <c r="D15" s="44"/>
      <c r="E15" s="44"/>
      <c r="F15" s="3"/>
      <c r="G15" s="44"/>
      <c r="H15" s="44"/>
    </row>
    <row r="16" spans="1:13">
      <c r="C16" s="3"/>
      <c r="D16" s="44"/>
      <c r="E16" s="44"/>
      <c r="F16" s="3"/>
      <c r="G16" s="44"/>
      <c r="H16" s="44"/>
      <c r="M16" t="s">
        <v>32</v>
      </c>
    </row>
    <row r="17" spans="2:13">
      <c r="C17" s="3"/>
      <c r="D17" s="44"/>
      <c r="E17" s="44"/>
      <c r="F17" s="17" t="s">
        <v>33</v>
      </c>
      <c r="G17" s="44">
        <f>G14+G11</f>
        <v>73346</v>
      </c>
      <c r="H17" s="44">
        <f>H14+H11</f>
        <v>90252</v>
      </c>
    </row>
    <row r="18" spans="2:13" ht="15" customHeight="1">
      <c r="B18" s="2"/>
      <c r="C18" s="16" t="s">
        <v>34</v>
      </c>
      <c r="D18" s="45">
        <f>D9+D14</f>
        <v>101863</v>
      </c>
      <c r="E18" s="45">
        <f>E9+E14</f>
        <v>116852</v>
      </c>
      <c r="F18" s="16" t="s">
        <v>35</v>
      </c>
      <c r="G18" s="46">
        <f>G14+G11+G7</f>
        <v>101863</v>
      </c>
      <c r="H18" s="46">
        <f>E18</f>
        <v>116852</v>
      </c>
    </row>
    <row r="19" spans="2:13" ht="15" customHeight="1"/>
    <row r="20" spans="2:13" ht="15" customHeight="1">
      <c r="B20" s="18" t="s">
        <v>36</v>
      </c>
      <c r="C20" s="18">
        <v>2019</v>
      </c>
      <c r="D20" s="18">
        <v>2018</v>
      </c>
    </row>
    <row r="21" spans="2:13">
      <c r="B21" s="12" t="s">
        <v>37</v>
      </c>
      <c r="C21" s="65">
        <f>K13/G7</f>
        <v>4.5130974506434759E-2</v>
      </c>
      <c r="D21" s="65">
        <f>L13/(H7)</f>
        <v>2.0836466165413535E-2</v>
      </c>
    </row>
    <row r="22" spans="2:13" ht="25.5">
      <c r="B22" s="12" t="s">
        <v>38</v>
      </c>
      <c r="C22" s="65">
        <f>K9/D18</f>
        <v>1.9536043509419513E-2</v>
      </c>
      <c r="D22" s="65">
        <f>L9/E18</f>
        <v>9.2766918837503855E-3</v>
      </c>
      <c r="H22" s="29" t="s">
        <v>39</v>
      </c>
    </row>
    <row r="23" spans="2:13" ht="15" customHeight="1">
      <c r="F23" s="1"/>
      <c r="G23" s="1"/>
      <c r="H23" s="26"/>
    </row>
    <row r="24" spans="2:13" ht="15" customHeight="1">
      <c r="B24" s="18" t="s">
        <v>40</v>
      </c>
      <c r="C24" s="19">
        <v>2019</v>
      </c>
      <c r="D24" s="19">
        <v>2018</v>
      </c>
      <c r="F24" s="1"/>
      <c r="G24" s="1"/>
      <c r="H24" s="27" t="s">
        <v>100</v>
      </c>
    </row>
    <row r="25" spans="2:13" ht="16.5" thickBot="1">
      <c r="B25" s="12" t="s">
        <v>41</v>
      </c>
      <c r="C25" s="41">
        <f>D14/G14</f>
        <v>1.5014577259475219</v>
      </c>
      <c r="D25" s="41">
        <f>E14/H14</f>
        <v>1.3186674308219077</v>
      </c>
      <c r="F25" s="1"/>
      <c r="G25" s="1"/>
      <c r="H25" s="27" t="s">
        <v>42</v>
      </c>
    </row>
    <row r="26" spans="2:13" ht="30.75" customHeight="1" thickBot="1">
      <c r="B26" s="12" t="s">
        <v>43</v>
      </c>
      <c r="C26" s="41">
        <f>(D13+D12)/G14</f>
        <v>1.2650697344574895</v>
      </c>
      <c r="D26" s="41">
        <f>(E12+E13)/H14</f>
        <v>1.1717144998456994</v>
      </c>
      <c r="H26" s="58" t="s">
        <v>44</v>
      </c>
      <c r="I26" s="58"/>
      <c r="J26" s="58"/>
      <c r="K26" s="50" t="s">
        <v>45</v>
      </c>
      <c r="L26" s="54" t="s">
        <v>46</v>
      </c>
      <c r="M26" s="55"/>
    </row>
    <row r="27" spans="2:13" ht="15" customHeight="1" thickBot="1">
      <c r="B27" s="12" t="s">
        <v>47</v>
      </c>
      <c r="C27" s="41">
        <f>D13/G14</f>
        <v>0.1410251359230951</v>
      </c>
      <c r="D27" s="41">
        <f>E13/H14</f>
        <v>0.32467780569883464</v>
      </c>
      <c r="H27" s="58" t="s">
        <v>48</v>
      </c>
      <c r="I27" s="58"/>
      <c r="J27" s="58"/>
      <c r="K27" s="28" t="s">
        <v>49</v>
      </c>
      <c r="L27" s="56" t="s">
        <v>50</v>
      </c>
      <c r="M27" s="57"/>
    </row>
    <row r="28" spans="2:13" ht="15" customHeight="1" thickBot="1">
      <c r="B28" s="12" t="s">
        <v>51</v>
      </c>
      <c r="C28" s="41">
        <f>D18/G17</f>
        <v>1.3888010252774521</v>
      </c>
      <c r="D28" s="41">
        <f>E18/H17</f>
        <v>1.2947303106856358</v>
      </c>
      <c r="H28" s="58" t="s">
        <v>52</v>
      </c>
      <c r="I28" s="58"/>
      <c r="J28" s="58"/>
      <c r="K28" s="28" t="s">
        <v>53</v>
      </c>
      <c r="L28" s="56" t="s">
        <v>54</v>
      </c>
      <c r="M28" s="55"/>
    </row>
    <row r="29" spans="2:13" ht="15" customHeight="1" thickBot="1">
      <c r="B29" s="12" t="s">
        <v>55</v>
      </c>
      <c r="C29" s="41">
        <f>G17/G18</f>
        <v>0.72004555137783099</v>
      </c>
      <c r="D29" s="41">
        <f>H17/H18</f>
        <v>0.77236161982678941</v>
      </c>
      <c r="H29" s="58" t="s">
        <v>56</v>
      </c>
      <c r="I29" s="58"/>
      <c r="J29" s="58"/>
      <c r="K29" s="28" t="s">
        <v>57</v>
      </c>
      <c r="L29" s="56" t="s">
        <v>58</v>
      </c>
      <c r="M29" s="55"/>
    </row>
    <row r="30" spans="2:13" ht="15" customHeight="1" thickBot="1">
      <c r="B30" s="12" t="s">
        <v>59</v>
      </c>
      <c r="C30" s="41">
        <f>G14/G17</f>
        <v>0.69211681618629506</v>
      </c>
      <c r="D30" s="41">
        <f>H14/H17</f>
        <v>0.75398883127243721</v>
      </c>
      <c r="H30" s="58" t="s">
        <v>60</v>
      </c>
      <c r="I30" s="58"/>
      <c r="J30" s="58"/>
      <c r="K30" s="28" t="s">
        <v>61</v>
      </c>
      <c r="L30" s="56" t="s">
        <v>62</v>
      </c>
      <c r="M30" s="57"/>
    </row>
    <row r="32" spans="2:13" ht="15" customHeight="1"/>
    <row r="33" spans="2:5">
      <c r="B33" s="64" t="s">
        <v>63</v>
      </c>
      <c r="C33" s="64"/>
      <c r="D33" s="64"/>
      <c r="E33" s="64"/>
    </row>
    <row r="34" spans="2:5" ht="15.75" customHeight="1">
      <c r="B34" s="60" t="s">
        <v>104</v>
      </c>
      <c r="C34" s="60"/>
      <c r="D34" s="60"/>
      <c r="E34" s="60"/>
    </row>
    <row r="35" spans="2:5">
      <c r="B35" s="60"/>
      <c r="C35" s="60"/>
      <c r="D35" s="60"/>
      <c r="E35" s="60"/>
    </row>
    <row r="36" spans="2:5">
      <c r="B36" s="60"/>
      <c r="C36" s="60"/>
      <c r="D36" s="60"/>
      <c r="E36" s="60"/>
    </row>
    <row r="37" spans="2:5">
      <c r="B37" s="60"/>
      <c r="C37" s="60"/>
      <c r="D37" s="60"/>
      <c r="E37" s="60"/>
    </row>
    <row r="38" spans="2:5">
      <c r="B38" s="60"/>
      <c r="C38" s="60"/>
      <c r="D38" s="60"/>
      <c r="E38" s="60"/>
    </row>
    <row r="39" spans="2:5">
      <c r="B39" s="60"/>
      <c r="C39" s="60"/>
      <c r="D39" s="60"/>
      <c r="E39" s="60"/>
    </row>
    <row r="40" spans="2:5">
      <c r="B40" s="60"/>
      <c r="C40" s="60"/>
      <c r="D40" s="60"/>
      <c r="E40" s="60"/>
    </row>
    <row r="41" spans="2:5">
      <c r="B41" s="64" t="s">
        <v>64</v>
      </c>
      <c r="C41" s="64"/>
      <c r="D41" s="64"/>
      <c r="E41" s="64"/>
    </row>
    <row r="42" spans="2:5" ht="15.75" customHeight="1">
      <c r="B42" s="60" t="s">
        <v>103</v>
      </c>
      <c r="C42" s="60"/>
      <c r="D42" s="60"/>
      <c r="E42" s="60"/>
    </row>
    <row r="43" spans="2:5">
      <c r="B43" s="60"/>
      <c r="C43" s="60"/>
      <c r="D43" s="60"/>
      <c r="E43" s="60"/>
    </row>
    <row r="44" spans="2:5">
      <c r="B44" s="60"/>
      <c r="C44" s="60"/>
      <c r="D44" s="60"/>
      <c r="E44" s="60"/>
    </row>
    <row r="45" spans="2:5">
      <c r="B45" s="64" t="s">
        <v>65</v>
      </c>
      <c r="C45" s="64"/>
      <c r="D45" s="64"/>
      <c r="E45" s="64"/>
    </row>
    <row r="46" spans="2:5">
      <c r="B46" s="60" t="s">
        <v>105</v>
      </c>
      <c r="C46" s="60"/>
      <c r="D46" s="60"/>
      <c r="E46" s="60"/>
    </row>
    <row r="47" spans="2:5">
      <c r="B47" s="60"/>
      <c r="C47" s="60"/>
      <c r="D47" s="60"/>
      <c r="E47" s="60"/>
    </row>
    <row r="48" spans="2:5" ht="84.75" customHeight="1">
      <c r="B48" s="60"/>
      <c r="C48" s="60"/>
      <c r="D48" s="60"/>
      <c r="E48" s="60"/>
    </row>
    <row r="49" spans="2:5">
      <c r="B49" s="64" t="s">
        <v>66</v>
      </c>
      <c r="C49" s="64"/>
      <c r="D49" s="64"/>
      <c r="E49" s="64"/>
    </row>
    <row r="50" spans="2:5" ht="15.75" customHeight="1">
      <c r="B50" s="60" t="s">
        <v>102</v>
      </c>
      <c r="C50" s="60"/>
      <c r="D50" s="60"/>
      <c r="E50" s="60"/>
    </row>
    <row r="51" spans="2:5">
      <c r="B51" s="60"/>
      <c r="C51" s="60"/>
      <c r="D51" s="60"/>
      <c r="E51" s="60"/>
    </row>
    <row r="52" spans="2:5">
      <c r="B52" s="60"/>
      <c r="C52" s="60"/>
      <c r="D52" s="60"/>
      <c r="E52" s="60"/>
    </row>
  </sheetData>
  <mergeCells count="18">
    <mergeCell ref="B42:E44"/>
    <mergeCell ref="B45:E45"/>
    <mergeCell ref="B50:E52"/>
    <mergeCell ref="B46:E48"/>
    <mergeCell ref="B33:E33"/>
    <mergeCell ref="B41:E41"/>
    <mergeCell ref="B49:E49"/>
    <mergeCell ref="L26:M26"/>
    <mergeCell ref="L27:M27"/>
    <mergeCell ref="L28:M28"/>
    <mergeCell ref="L29:M29"/>
    <mergeCell ref="L30:M30"/>
    <mergeCell ref="H26:J26"/>
    <mergeCell ref="H27:J27"/>
    <mergeCell ref="H28:J28"/>
    <mergeCell ref="H29:J29"/>
    <mergeCell ref="H30:J30"/>
    <mergeCell ref="B34:E40"/>
  </mergeCells>
  <hyperlinks>
    <hyperlink ref="L27:M27" r:id="rId1" display="jivagri@upv.es" xr:uid="{031EFC3E-341D-4E4E-BA0A-BE6D761CDAB3}"/>
    <hyperlink ref="L29" r:id="rId2" xr:uid="{6B618619-D5B4-4153-ABA3-DF7DB5971684}"/>
    <hyperlink ref="L28" r:id="rId3" xr:uid="{36184233-0405-45E4-9C00-7C7593FBED68}"/>
    <hyperlink ref="L27" r:id="rId4" xr:uid="{EA76ED64-6F20-4B28-B3A3-9CC89FD42B17}"/>
    <hyperlink ref="L30:M30" r:id="rId5" display="mribrib@inf.upv.es" xr:uid="{F2E97327-040D-4CFB-8A46-B6BABA8E0714}"/>
  </hyperlinks>
  <pageMargins left="0.75" right="0.75" top="1" bottom="1" header="0.5" footer="0.5"/>
  <pageSetup paperSize="9" orientation="portrait" horizontalDpi="4294967292" verticalDpi="4294967292" r:id="rId6"/>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X48"/>
  <sheetViews>
    <sheetView topLeftCell="A10" workbookViewId="0">
      <selection activeCell="C37" sqref="C37:E38"/>
    </sheetView>
  </sheetViews>
  <sheetFormatPr baseColWidth="10" defaultColWidth="11" defaultRowHeight="15.75"/>
  <cols>
    <col min="1" max="1" width="4.5" customWidth="1"/>
    <col min="2" max="2" width="9.25" customWidth="1"/>
    <col min="3" max="3" width="23" bestFit="1" customWidth="1"/>
    <col min="4" max="4" width="18.375" customWidth="1"/>
    <col min="5" max="5" width="23.375" customWidth="1"/>
    <col min="6" max="6" width="16.625" customWidth="1"/>
    <col min="7" max="7" width="13.375" customWidth="1"/>
    <col min="8" max="8" width="12.875" customWidth="1"/>
    <col min="9" max="9" width="14.75" customWidth="1"/>
    <col min="10" max="10" width="13.5" customWidth="1"/>
    <col min="11" max="11" width="13" customWidth="1"/>
    <col min="12" max="12" width="13.25" customWidth="1"/>
    <col min="13" max="13" width="20.75" customWidth="1"/>
    <col min="14" max="14" width="14.375" customWidth="1"/>
    <col min="15" max="15" width="17.75" customWidth="1"/>
    <col min="16" max="16" width="16.5" customWidth="1"/>
    <col min="17" max="18" width="14.25" customWidth="1"/>
    <col min="19" max="19" width="16" customWidth="1"/>
    <col min="20" max="20" width="14.125" customWidth="1"/>
    <col min="21" max="21" width="15.125" customWidth="1"/>
    <col min="22" max="22" width="13.875" customWidth="1"/>
  </cols>
  <sheetData>
    <row r="1" spans="2:14">
      <c r="B1" s="24" t="s">
        <v>67</v>
      </c>
    </row>
    <row r="3" spans="2:14">
      <c r="C3" s="30" t="s">
        <v>68</v>
      </c>
      <c r="D3" s="3">
        <v>12500</v>
      </c>
      <c r="I3" s="2"/>
      <c r="J3" s="2"/>
      <c r="K3" s="2"/>
      <c r="L3" s="2"/>
      <c r="M3" s="2"/>
      <c r="N3" s="2"/>
    </row>
    <row r="4" spans="2:14">
      <c r="C4" s="30" t="s">
        <v>69</v>
      </c>
      <c r="D4" s="42" t="s">
        <v>70</v>
      </c>
      <c r="I4" s="2"/>
      <c r="J4" s="2"/>
      <c r="K4" s="2"/>
      <c r="L4" s="2"/>
      <c r="M4" s="2"/>
      <c r="N4" s="2"/>
    </row>
    <row r="5" spans="2:14">
      <c r="C5" s="30" t="s">
        <v>71</v>
      </c>
      <c r="D5" s="3" t="s">
        <v>72</v>
      </c>
      <c r="I5" s="2"/>
      <c r="J5" s="2"/>
      <c r="K5" s="2"/>
      <c r="L5" s="2"/>
      <c r="M5" s="2"/>
      <c r="N5" s="2"/>
    </row>
    <row r="6" spans="2:14">
      <c r="C6" s="30" t="s">
        <v>73</v>
      </c>
      <c r="D6" s="3">
        <v>8</v>
      </c>
      <c r="I6" s="2"/>
      <c r="J6" s="2"/>
      <c r="K6" s="2"/>
      <c r="L6" s="2"/>
      <c r="M6" s="2"/>
      <c r="N6" s="2"/>
    </row>
    <row r="7" spans="2:14">
      <c r="C7" s="30" t="s">
        <v>74</v>
      </c>
      <c r="D7" s="3">
        <v>1973.3</v>
      </c>
      <c r="E7" s="49" t="s">
        <v>75</v>
      </c>
      <c r="I7" s="2"/>
      <c r="J7" s="2"/>
      <c r="K7" s="2"/>
      <c r="L7" s="2"/>
      <c r="M7" s="2"/>
      <c r="N7" s="2"/>
    </row>
    <row r="8" spans="2:14">
      <c r="I8" s="2"/>
      <c r="J8" s="2"/>
      <c r="K8" s="2"/>
      <c r="L8" s="2"/>
      <c r="M8" s="2"/>
      <c r="N8" s="2"/>
    </row>
    <row r="9" spans="2:14">
      <c r="B9" s="31"/>
      <c r="C9" s="32" t="s">
        <v>76</v>
      </c>
      <c r="I9" s="2"/>
      <c r="J9" s="2"/>
      <c r="K9" s="2"/>
      <c r="L9" s="2"/>
      <c r="M9" s="2"/>
      <c r="N9" s="2"/>
    </row>
    <row r="10" spans="2:14" s="39" customFormat="1">
      <c r="B10" s="37" t="s">
        <v>77</v>
      </c>
      <c r="C10" s="38" t="s">
        <v>78</v>
      </c>
      <c r="D10" s="38" t="s">
        <v>69</v>
      </c>
      <c r="E10" s="38" t="s">
        <v>79</v>
      </c>
      <c r="F10" s="38" t="s">
        <v>80</v>
      </c>
      <c r="I10" s="51"/>
      <c r="J10" s="51"/>
      <c r="K10" s="51"/>
      <c r="L10" s="51"/>
      <c r="M10" s="51"/>
      <c r="N10" s="51"/>
    </row>
    <row r="11" spans="2:14">
      <c r="B11" s="3">
        <v>0</v>
      </c>
      <c r="C11" s="23"/>
      <c r="D11" s="23"/>
      <c r="E11" s="23"/>
      <c r="F11" s="23">
        <v>12500</v>
      </c>
      <c r="I11" s="2"/>
      <c r="J11" s="2"/>
      <c r="K11" s="2"/>
      <c r="L11" s="2"/>
      <c r="M11" s="2"/>
      <c r="N11" s="2"/>
    </row>
    <row r="12" spans="2:14">
      <c r="B12" s="3">
        <v>1</v>
      </c>
      <c r="C12" s="3">
        <v>1973.3</v>
      </c>
      <c r="D12" s="23">
        <v>687.5</v>
      </c>
      <c r="E12" s="23">
        <v>1285.8</v>
      </c>
      <c r="F12" s="23">
        <v>11214.2</v>
      </c>
      <c r="I12" s="2"/>
      <c r="J12" s="2"/>
      <c r="K12" s="2"/>
      <c r="L12" s="2"/>
      <c r="M12" s="2"/>
      <c r="N12" s="2"/>
    </row>
    <row r="13" spans="2:14">
      <c r="B13" s="3">
        <v>2</v>
      </c>
      <c r="C13" s="3">
        <v>1973.3</v>
      </c>
      <c r="D13" s="23">
        <v>616.78099999999995</v>
      </c>
      <c r="E13" s="23">
        <f>C13-D13</f>
        <v>1356.519</v>
      </c>
      <c r="F13" s="23">
        <f>F12-E13</f>
        <v>9857.6810000000005</v>
      </c>
      <c r="I13" s="2"/>
      <c r="J13" s="2"/>
      <c r="K13" s="2"/>
      <c r="L13" s="2"/>
      <c r="M13" s="2"/>
      <c r="N13" s="2"/>
    </row>
    <row r="14" spans="2:14">
      <c r="B14" s="4">
        <v>3</v>
      </c>
      <c r="C14" s="3">
        <v>1973.3</v>
      </c>
      <c r="D14" s="23">
        <f>0.055*F13</f>
        <v>542.17245500000001</v>
      </c>
      <c r="E14" s="23">
        <f>C14-D14</f>
        <v>1431.1275449999998</v>
      </c>
      <c r="F14" s="23">
        <f>F13-E14</f>
        <v>8426.5534550000011</v>
      </c>
      <c r="I14" s="2"/>
      <c r="J14" s="2"/>
      <c r="K14" s="2"/>
      <c r="L14" s="2"/>
      <c r="M14" s="2"/>
      <c r="N14" s="2"/>
    </row>
    <row r="15" spans="2:14">
      <c r="B15" s="4">
        <v>4</v>
      </c>
      <c r="C15" s="3">
        <v>1973.3</v>
      </c>
      <c r="D15" s="9">
        <f>0.055*F14</f>
        <v>463.46044002500008</v>
      </c>
      <c r="E15" s="9">
        <f>C15-D15</f>
        <v>1509.8395599749999</v>
      </c>
      <c r="F15" s="9">
        <f>F14-E15</f>
        <v>6916.713895025001</v>
      </c>
      <c r="I15" s="2"/>
      <c r="J15" s="2"/>
      <c r="K15" s="2"/>
      <c r="L15" s="2"/>
      <c r="M15" s="2"/>
      <c r="N15" s="2"/>
    </row>
    <row r="16" spans="2:14">
      <c r="B16" s="4">
        <v>5</v>
      </c>
      <c r="C16" s="3">
        <v>1973.3</v>
      </c>
      <c r="D16" s="9">
        <f>0.055*F15</f>
        <v>380.41926422637505</v>
      </c>
      <c r="E16" s="9">
        <f>C16-D16</f>
        <v>1592.880735773625</v>
      </c>
      <c r="F16" s="9">
        <f>F15-E16</f>
        <v>5323.8331592513759</v>
      </c>
    </row>
    <row r="17" spans="2:24">
      <c r="B17" s="4">
        <v>6</v>
      </c>
      <c r="C17" s="3">
        <v>1973.3</v>
      </c>
      <c r="D17" s="9">
        <f t="shared" ref="D17:D19" si="0">0.055*F16</f>
        <v>292.81082375882568</v>
      </c>
      <c r="E17" s="9">
        <f t="shared" ref="E17:E19" si="1">C17-D17</f>
        <v>1680.4891762411744</v>
      </c>
      <c r="F17" s="9">
        <f t="shared" ref="F17:F19" si="2">F16-E17</f>
        <v>3643.3439830102016</v>
      </c>
    </row>
    <row r="18" spans="2:24">
      <c r="B18" s="4">
        <v>7</v>
      </c>
      <c r="C18" s="3">
        <v>1973.3</v>
      </c>
      <c r="D18" s="9">
        <f t="shared" si="0"/>
        <v>200.38391906556109</v>
      </c>
      <c r="E18" s="9">
        <f t="shared" si="1"/>
        <v>1772.9160809344389</v>
      </c>
      <c r="F18" s="9">
        <f t="shared" si="2"/>
        <v>1870.4279020757626</v>
      </c>
    </row>
    <row r="19" spans="2:24">
      <c r="B19" s="4">
        <v>8</v>
      </c>
      <c r="C19" s="3">
        <v>1973.3</v>
      </c>
      <c r="D19" s="9">
        <f t="shared" si="0"/>
        <v>102.87353461416694</v>
      </c>
      <c r="E19" s="9">
        <f t="shared" si="1"/>
        <v>1870.4264653858331</v>
      </c>
      <c r="F19" s="9">
        <f t="shared" si="2"/>
        <v>1.4366899295055191E-3</v>
      </c>
    </row>
    <row r="21" spans="2:24">
      <c r="D21" s="21"/>
      <c r="F21" s="21"/>
      <c r="G21" s="21"/>
      <c r="I21" t="s">
        <v>81</v>
      </c>
      <c r="K21" s="21"/>
    </row>
    <row r="22" spans="2:24">
      <c r="C22" s="30" t="s">
        <v>82</v>
      </c>
      <c r="D22" s="35">
        <v>12500</v>
      </c>
      <c r="E22" s="30" t="s">
        <v>83</v>
      </c>
      <c r="F22" s="35">
        <v>4500</v>
      </c>
      <c r="G22" s="22"/>
      <c r="I22" s="25" t="s">
        <v>84</v>
      </c>
      <c r="K22" s="22"/>
      <c r="L22" s="24"/>
    </row>
    <row r="23" spans="2:24">
      <c r="C23" s="30" t="s">
        <v>69</v>
      </c>
      <c r="D23" s="36">
        <v>5.5E-2</v>
      </c>
      <c r="E23" s="30" t="s">
        <v>85</v>
      </c>
      <c r="F23" s="33">
        <v>0.09</v>
      </c>
      <c r="G23" s="8"/>
      <c r="I23" s="25">
        <v>0.13</v>
      </c>
      <c r="K23" s="6"/>
      <c r="L23" s="24"/>
    </row>
    <row r="24" spans="2:24">
      <c r="C24" s="30" t="s">
        <v>73</v>
      </c>
      <c r="D24" s="3">
        <v>8</v>
      </c>
      <c r="E24" s="30" t="s">
        <v>86</v>
      </c>
      <c r="F24" s="3">
        <v>8</v>
      </c>
      <c r="L24" s="24"/>
    </row>
    <row r="25" spans="2:24">
      <c r="C25" s="3"/>
      <c r="D25" s="3"/>
      <c r="E25" s="30" t="s">
        <v>87</v>
      </c>
      <c r="F25" s="33">
        <v>0.15</v>
      </c>
      <c r="G25" s="8"/>
      <c r="I25" s="31"/>
      <c r="J25" s="34"/>
      <c r="K25" s="7"/>
    </row>
    <row r="27" spans="2:24">
      <c r="C27" s="30" t="s">
        <v>88</v>
      </c>
      <c r="D27" s="13">
        <v>0</v>
      </c>
      <c r="E27" s="13">
        <v>1</v>
      </c>
      <c r="F27" s="13">
        <v>2</v>
      </c>
      <c r="G27" s="13">
        <v>3</v>
      </c>
      <c r="H27" s="13">
        <v>4</v>
      </c>
      <c r="I27" s="13">
        <v>5</v>
      </c>
      <c r="J27" s="13">
        <v>6</v>
      </c>
      <c r="K27" s="13">
        <v>7</v>
      </c>
      <c r="L27" s="13">
        <v>8</v>
      </c>
    </row>
    <row r="28" spans="2:24">
      <c r="C28" s="30" t="s">
        <v>89</v>
      </c>
      <c r="D28" s="9">
        <v>4500</v>
      </c>
      <c r="E28" s="9">
        <f>4500*1.09</f>
        <v>4905</v>
      </c>
      <c r="F28" s="9">
        <f t="shared" ref="F28:K28" si="3">E28*1.09</f>
        <v>5346.4500000000007</v>
      </c>
      <c r="G28" s="9">
        <f t="shared" si="3"/>
        <v>5827.6305000000011</v>
      </c>
      <c r="H28" s="9">
        <f t="shared" si="3"/>
        <v>6352.1172450000013</v>
      </c>
      <c r="I28" s="9">
        <f t="shared" si="3"/>
        <v>6923.8077970500017</v>
      </c>
      <c r="J28" s="9">
        <f t="shared" si="3"/>
        <v>7546.9504987845021</v>
      </c>
      <c r="K28" s="9">
        <f t="shared" si="3"/>
        <v>8226.1760436751083</v>
      </c>
      <c r="L28" s="9">
        <f t="shared" ref="L28" si="4">K28*1.09</f>
        <v>8966.5318876058682</v>
      </c>
    </row>
    <row r="29" spans="2:24">
      <c r="C29" s="30" t="s">
        <v>90</v>
      </c>
      <c r="D29" s="9">
        <f>C$12</f>
        <v>1973.3</v>
      </c>
      <c r="E29" s="9">
        <f>$C$12</f>
        <v>1973.3</v>
      </c>
      <c r="F29" s="9">
        <f>$C$12</f>
        <v>1973.3</v>
      </c>
      <c r="G29" s="9">
        <f>$C$12</f>
        <v>1973.3</v>
      </c>
      <c r="H29" s="9">
        <f>$C$12</f>
        <v>1973.3</v>
      </c>
      <c r="I29" s="9">
        <f>$C$12</f>
        <v>1973.3</v>
      </c>
      <c r="J29" s="9">
        <f>$C$12</f>
        <v>1973.3</v>
      </c>
      <c r="K29" s="9">
        <f>$C$12</f>
        <v>1973.3</v>
      </c>
      <c r="L29" s="9">
        <f>$C$12</f>
        <v>1973.3</v>
      </c>
      <c r="M29" s="5"/>
      <c r="O29" s="13" t="s">
        <v>68</v>
      </c>
      <c r="P29" s="13">
        <v>0</v>
      </c>
      <c r="Q29" s="13">
        <v>1</v>
      </c>
      <c r="R29" s="13">
        <v>2</v>
      </c>
      <c r="S29" s="13">
        <v>3</v>
      </c>
      <c r="T29" s="13">
        <v>4</v>
      </c>
      <c r="U29" s="13">
        <v>5</v>
      </c>
      <c r="V29" s="13">
        <v>6</v>
      </c>
      <c r="W29" s="13">
        <v>7</v>
      </c>
      <c r="X29" s="13">
        <v>8</v>
      </c>
    </row>
    <row r="30" spans="2:24">
      <c r="C30" s="30" t="s">
        <v>91</v>
      </c>
      <c r="D30" s="9">
        <f>D$28*$M30</f>
        <v>675</v>
      </c>
      <c r="E30" s="9">
        <f>E$28*$M30</f>
        <v>735.75</v>
      </c>
      <c r="F30" s="9">
        <f>F$28*$M30</f>
        <v>801.96750000000009</v>
      </c>
      <c r="G30" s="9">
        <f>G$28*$M30</f>
        <v>874.14457500000015</v>
      </c>
      <c r="H30" s="9">
        <f>H$28*$M30</f>
        <v>952.81758675000015</v>
      </c>
      <c r="I30" s="9">
        <f>I$28*$M30</f>
        <v>1038.5711695575003</v>
      </c>
      <c r="J30" s="9">
        <f>J$28*$M30</f>
        <v>1132.0425748176754</v>
      </c>
      <c r="K30" s="9">
        <f>K$28*$M30</f>
        <v>1233.9264065512662</v>
      </c>
      <c r="L30" s="9">
        <f>L$28*$M30</f>
        <v>1344.9797831408803</v>
      </c>
      <c r="M30" s="8">
        <v>0.15</v>
      </c>
      <c r="O30">
        <v>-12500</v>
      </c>
      <c r="P30" s="9">
        <v>4500</v>
      </c>
      <c r="Q30" s="9">
        <f>4500*1.09</f>
        <v>4905</v>
      </c>
      <c r="R30" s="9">
        <f>Q30*1.09</f>
        <v>5346.4500000000007</v>
      </c>
      <c r="S30" s="9">
        <f>R30*1.09</f>
        <v>5827.6305000000011</v>
      </c>
      <c r="T30" s="9">
        <f>S30*1.09</f>
        <v>6352.1172450000013</v>
      </c>
      <c r="U30" s="9">
        <f>T30*1.09</f>
        <v>6923.8077970500017</v>
      </c>
      <c r="V30" s="9">
        <f>U30*1.09</f>
        <v>7546.9504987845021</v>
      </c>
      <c r="W30" s="9">
        <f>V30*1.09</f>
        <v>8226.1760436751083</v>
      </c>
      <c r="X30" s="9">
        <f>W30*1.09</f>
        <v>8966.5318876058682</v>
      </c>
    </row>
    <row r="31" spans="2:24">
      <c r="C31" s="30" t="s">
        <v>98</v>
      </c>
      <c r="D31" s="9">
        <f>D$28*$M31</f>
        <v>585</v>
      </c>
      <c r="E31" s="9">
        <f>E$28*$M31</f>
        <v>637.65</v>
      </c>
      <c r="F31" s="9">
        <f>F$28*$M31</f>
        <v>695.03850000000011</v>
      </c>
      <c r="G31" s="9">
        <f>G$28*$M31</f>
        <v>757.59196500000019</v>
      </c>
      <c r="H31" s="9">
        <f>H$28*$M31</f>
        <v>825.77524185000016</v>
      </c>
      <c r="I31" s="9">
        <f>I$28*$M31</f>
        <v>900.0950136165003</v>
      </c>
      <c r="J31" s="9">
        <f>J$28*$M31</f>
        <v>981.1035648419853</v>
      </c>
      <c r="K31" s="9">
        <f>K$28*$M31</f>
        <v>1069.4028856777641</v>
      </c>
      <c r="L31" s="9">
        <f>L$28*$M31</f>
        <v>1165.6491453887629</v>
      </c>
      <c r="M31" s="8">
        <v>0.13</v>
      </c>
    </row>
    <row r="32" spans="2:24">
      <c r="G32" s="5"/>
      <c r="H32" s="5"/>
      <c r="I32" s="5"/>
      <c r="J32" s="5"/>
      <c r="K32" s="5"/>
      <c r="L32" s="5"/>
      <c r="M32" s="5"/>
    </row>
    <row r="33" spans="3:11">
      <c r="D33" s="3" t="s">
        <v>92</v>
      </c>
      <c r="E33" s="59">
        <f>NPV(I23,D28:L28)-12500</f>
        <v>18663.587599175749</v>
      </c>
      <c r="F33" s="52" t="s">
        <v>93</v>
      </c>
    </row>
    <row r="34" spans="3:11">
      <c r="D34" s="3" t="s">
        <v>94</v>
      </c>
      <c r="E34" s="33">
        <f>IRR(O30:X30)</f>
        <v>0.41579016673940083</v>
      </c>
      <c r="F34" s="53" t="s">
        <v>95</v>
      </c>
    </row>
    <row r="36" spans="3:11">
      <c r="C36" s="63" t="s">
        <v>96</v>
      </c>
    </row>
    <row r="37" spans="3:11">
      <c r="C37" s="60" t="s">
        <v>99</v>
      </c>
      <c r="D37" s="60"/>
      <c r="E37" s="60"/>
    </row>
    <row r="38" spans="3:11">
      <c r="C38" s="60"/>
      <c r="D38" s="60"/>
      <c r="E38" s="60"/>
    </row>
    <row r="39" spans="3:11">
      <c r="C39" s="63" t="s">
        <v>97</v>
      </c>
    </row>
    <row r="40" spans="3:11">
      <c r="C40" s="61" t="s">
        <v>101</v>
      </c>
      <c r="D40" s="61"/>
      <c r="E40" s="61"/>
    </row>
    <row r="41" spans="3:11">
      <c r="C41" s="61"/>
      <c r="D41" s="61"/>
      <c r="E41" s="61"/>
    </row>
    <row r="42" spans="3:11">
      <c r="C42" s="61"/>
      <c r="D42" s="61"/>
      <c r="E42" s="61"/>
    </row>
    <row r="47" spans="3:11">
      <c r="I47" s="62"/>
      <c r="J47" s="62"/>
      <c r="K47" s="62"/>
    </row>
    <row r="48" spans="3:11">
      <c r="I48" s="62"/>
      <c r="J48" s="62"/>
      <c r="K48" s="62"/>
    </row>
  </sheetData>
  <mergeCells count="2">
    <mergeCell ref="C37:E38"/>
    <mergeCell ref="C40:E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Ratios</vt:lpstr>
      <vt:lpstr>Amortització y VAN</vt:lpstr>
    </vt:vector>
  </TitlesOfParts>
  <Manager/>
  <Company>Universidad Politécnica Valencia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Pilar Conesa</dc:creator>
  <cp:keywords/>
  <dc:description/>
  <cp:lastModifiedBy>Iñaki Diez Lambies</cp:lastModifiedBy>
  <cp:revision/>
  <dcterms:created xsi:type="dcterms:W3CDTF">2018-11-22T11:45:27Z</dcterms:created>
  <dcterms:modified xsi:type="dcterms:W3CDTF">2020-05-10T09:31:45Z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88c36204-9a50-4c89-b934-8617f03887ea</vt:lpwstr>
  </property>
</Properties>
</file>