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k/Development/Workspace/IdeaProjects/cryptotrader/etc/doc/"/>
    </mc:Choice>
  </mc:AlternateContent>
  <bookViews>
    <workbookView xWindow="1000" yWindow="440" windowWidth="25100" windowHeight="28360" tabRatio="500" activeTab="6"/>
  </bookViews>
  <sheets>
    <sheet name="MID" sheetId="3" r:id="rId1"/>
    <sheet name="Time Decay" sheetId="2" r:id="rId2"/>
    <sheet name="VWAP" sheetId="1" r:id="rId3"/>
    <sheet name="Exposure" sheetId="4" r:id="rId4"/>
    <sheet name="Returns" sheetId="5" r:id="rId5"/>
    <sheet name="Regression" sheetId="7" r:id="rId6"/>
    <sheet name="Slice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8" l="1"/>
  <c r="C6" i="8"/>
  <c r="F9" i="8"/>
  <c r="B10" i="8"/>
  <c r="F10" i="8"/>
  <c r="B11" i="8"/>
  <c r="F11" i="8"/>
  <c r="B12" i="8"/>
  <c r="F12" i="8"/>
  <c r="B13" i="8"/>
  <c r="F13" i="8"/>
  <c r="B14" i="8"/>
  <c r="F14" i="8"/>
  <c r="B15" i="8"/>
  <c r="F15" i="8"/>
  <c r="B16" i="8"/>
  <c r="F16" i="8"/>
  <c r="B17" i="8"/>
  <c r="F17" i="8"/>
  <c r="B18" i="8"/>
  <c r="F18" i="8"/>
  <c r="B19" i="8"/>
  <c r="F19" i="8"/>
  <c r="B20" i="8"/>
  <c r="F20" i="8"/>
  <c r="B21" i="8"/>
  <c r="F21" i="8"/>
  <c r="B22" i="8"/>
  <c r="F22" i="8"/>
  <c r="B23" i="8"/>
  <c r="F23" i="8"/>
  <c r="B24" i="8"/>
  <c r="F24" i="8"/>
  <c r="B25" i="8"/>
  <c r="F25" i="8"/>
  <c r="B26" i="8"/>
  <c r="F26" i="8"/>
  <c r="B27" i="8"/>
  <c r="F27" i="8"/>
  <c r="B28" i="8"/>
  <c r="F28" i="8"/>
  <c r="G28" i="8"/>
  <c r="H28" i="8"/>
  <c r="G27" i="8"/>
  <c r="H27" i="8"/>
  <c r="G26" i="8"/>
  <c r="H26" i="8"/>
  <c r="G25" i="8"/>
  <c r="H25" i="8"/>
  <c r="G24" i="8"/>
  <c r="H24" i="8"/>
  <c r="G23" i="8"/>
  <c r="H23" i="8"/>
  <c r="G22" i="8"/>
  <c r="H22" i="8"/>
  <c r="G21" i="8"/>
  <c r="H21" i="8"/>
  <c r="G20" i="8"/>
  <c r="H20" i="8"/>
  <c r="G19" i="8"/>
  <c r="H19" i="8"/>
  <c r="G18" i="8"/>
  <c r="H18" i="8"/>
  <c r="G17" i="8"/>
  <c r="H17" i="8"/>
  <c r="G16" i="8"/>
  <c r="H16" i="8"/>
  <c r="G15" i="8"/>
  <c r="H15" i="8"/>
  <c r="G14" i="8"/>
  <c r="H14" i="8"/>
  <c r="G13" i="8"/>
  <c r="H13" i="8"/>
  <c r="G12" i="8"/>
  <c r="H12" i="8"/>
  <c r="G11" i="8"/>
  <c r="H11" i="8"/>
  <c r="G10" i="8"/>
  <c r="H10" i="8"/>
  <c r="G9" i="8"/>
  <c r="H9" i="8"/>
  <c r="C9" i="8"/>
  <c r="C28" i="8"/>
  <c r="D28" i="8"/>
  <c r="E28" i="8"/>
  <c r="C27" i="8"/>
  <c r="D27" i="8"/>
  <c r="E27" i="8"/>
  <c r="C26" i="8"/>
  <c r="D26" i="8"/>
  <c r="E26" i="8"/>
  <c r="C25" i="8"/>
  <c r="D25" i="8"/>
  <c r="E25" i="8"/>
  <c r="C24" i="8"/>
  <c r="D24" i="8"/>
  <c r="E24" i="8"/>
  <c r="C23" i="8"/>
  <c r="D23" i="8"/>
  <c r="E23" i="8"/>
  <c r="C22" i="8"/>
  <c r="D22" i="8"/>
  <c r="E22" i="8"/>
  <c r="C21" i="8"/>
  <c r="D21" i="8"/>
  <c r="E21" i="8"/>
  <c r="C20" i="8"/>
  <c r="D20" i="8"/>
  <c r="E20" i="8"/>
  <c r="C19" i="8"/>
  <c r="D19" i="8"/>
  <c r="E19" i="8"/>
  <c r="C18" i="8"/>
  <c r="D18" i="8"/>
  <c r="E18" i="8"/>
  <c r="C17" i="8"/>
  <c r="D17" i="8"/>
  <c r="E17" i="8"/>
  <c r="C16" i="8"/>
  <c r="D16" i="8"/>
  <c r="E16" i="8"/>
  <c r="C15" i="8"/>
  <c r="D15" i="8"/>
  <c r="E15" i="8"/>
  <c r="C14" i="8"/>
  <c r="D14" i="8"/>
  <c r="E14" i="8"/>
  <c r="C13" i="8"/>
  <c r="D13" i="8"/>
  <c r="E13" i="8"/>
  <c r="C12" i="8"/>
  <c r="D12" i="8"/>
  <c r="E12" i="8"/>
  <c r="C11" i="8"/>
  <c r="D11" i="8"/>
  <c r="E11" i="8"/>
  <c r="C10" i="8"/>
  <c r="D10" i="8"/>
  <c r="E10" i="8"/>
  <c r="D9" i="8"/>
  <c r="E9" i="8"/>
  <c r="I43" i="7"/>
  <c r="J43" i="7"/>
  <c r="I42" i="7"/>
  <c r="J42" i="7"/>
  <c r="I41" i="7"/>
  <c r="J41" i="7"/>
  <c r="I40" i="7"/>
  <c r="J40" i="7"/>
  <c r="I39" i="7"/>
  <c r="J39" i="7"/>
  <c r="I38" i="7"/>
  <c r="J38" i="7"/>
  <c r="I37" i="7"/>
  <c r="J37" i="7"/>
  <c r="I36" i="7"/>
  <c r="J36" i="7"/>
  <c r="I35" i="7"/>
  <c r="J35" i="7"/>
  <c r="I34" i="7"/>
  <c r="J34" i="7"/>
  <c r="I33" i="7"/>
  <c r="J33" i="7"/>
  <c r="I32" i="7"/>
  <c r="J32" i="7"/>
  <c r="I31" i="7"/>
  <c r="J31" i="7"/>
  <c r="I30" i="7"/>
  <c r="J30" i="7"/>
  <c r="I29" i="7"/>
  <c r="J29" i="7"/>
  <c r="I28" i="7"/>
  <c r="J28" i="7"/>
  <c r="I27" i="7"/>
  <c r="J27" i="7"/>
  <c r="I26" i="7"/>
  <c r="J26" i="7"/>
  <c r="I25" i="7"/>
  <c r="J25" i="7"/>
  <c r="I24" i="7"/>
  <c r="J24" i="7"/>
  <c r="I23" i="7"/>
  <c r="J23" i="7"/>
  <c r="I22" i="7"/>
  <c r="J22" i="7"/>
  <c r="I21" i="7"/>
  <c r="J21" i="7"/>
  <c r="I20" i="7"/>
  <c r="J20" i="7"/>
  <c r="I19" i="7"/>
  <c r="J19" i="7"/>
  <c r="I18" i="7"/>
  <c r="J18" i="7"/>
  <c r="I17" i="7"/>
  <c r="J17" i="7"/>
  <c r="I16" i="7"/>
  <c r="J16" i="7"/>
  <c r="I15" i="7"/>
  <c r="J15" i="7"/>
  <c r="I14" i="7"/>
  <c r="J14" i="7"/>
  <c r="I13" i="7"/>
  <c r="J13" i="7"/>
  <c r="I12" i="7"/>
  <c r="J12" i="7"/>
  <c r="I11" i="7"/>
  <c r="J11" i="7"/>
  <c r="I10" i="7"/>
  <c r="J10" i="7"/>
  <c r="I9" i="7"/>
  <c r="J9" i="7"/>
  <c r="I8" i="7"/>
  <c r="J8" i="7"/>
  <c r="I7" i="7"/>
  <c r="J7" i="7"/>
  <c r="I6" i="7"/>
  <c r="J6" i="7"/>
  <c r="I5" i="7"/>
  <c r="J5" i="7"/>
  <c r="J4" i="7"/>
  <c r="I4" i="7"/>
  <c r="I1" i="7"/>
  <c r="C43" i="7"/>
  <c r="K43" i="7"/>
  <c r="L43" i="7"/>
  <c r="F43" i="7"/>
  <c r="G43" i="7"/>
  <c r="H43" i="7"/>
  <c r="E43" i="7"/>
  <c r="E42" i="7"/>
  <c r="C4" i="7"/>
  <c r="K4" i="7"/>
  <c r="L4" i="7"/>
  <c r="C5" i="7"/>
  <c r="K5" i="7"/>
  <c r="L5" i="7"/>
  <c r="C6" i="7"/>
  <c r="K6" i="7"/>
  <c r="L6" i="7"/>
  <c r="C7" i="7"/>
  <c r="K7" i="7"/>
  <c r="L7" i="7"/>
  <c r="C8" i="7"/>
  <c r="K8" i="7"/>
  <c r="L8" i="7"/>
  <c r="C9" i="7"/>
  <c r="K9" i="7"/>
  <c r="L9" i="7"/>
  <c r="C10" i="7"/>
  <c r="K10" i="7"/>
  <c r="L10" i="7"/>
  <c r="C11" i="7"/>
  <c r="K11" i="7"/>
  <c r="L11" i="7"/>
  <c r="C12" i="7"/>
  <c r="K12" i="7"/>
  <c r="L12" i="7"/>
  <c r="C13" i="7"/>
  <c r="K13" i="7"/>
  <c r="L13" i="7"/>
  <c r="C14" i="7"/>
  <c r="K14" i="7"/>
  <c r="L14" i="7"/>
  <c r="C15" i="7"/>
  <c r="K15" i="7"/>
  <c r="L15" i="7"/>
  <c r="C16" i="7"/>
  <c r="K16" i="7"/>
  <c r="L16" i="7"/>
  <c r="C17" i="7"/>
  <c r="K17" i="7"/>
  <c r="L17" i="7"/>
  <c r="C18" i="7"/>
  <c r="K18" i="7"/>
  <c r="L18" i="7"/>
  <c r="C19" i="7"/>
  <c r="K19" i="7"/>
  <c r="L19" i="7"/>
  <c r="C20" i="7"/>
  <c r="K20" i="7"/>
  <c r="L20" i="7"/>
  <c r="C21" i="7"/>
  <c r="K21" i="7"/>
  <c r="L21" i="7"/>
  <c r="C22" i="7"/>
  <c r="K22" i="7"/>
  <c r="L22" i="7"/>
  <c r="C23" i="7"/>
  <c r="K23" i="7"/>
  <c r="L23" i="7"/>
  <c r="C24" i="7"/>
  <c r="K24" i="7"/>
  <c r="L24" i="7"/>
  <c r="C25" i="7"/>
  <c r="K25" i="7"/>
  <c r="L25" i="7"/>
  <c r="C26" i="7"/>
  <c r="K26" i="7"/>
  <c r="L26" i="7"/>
  <c r="C27" i="7"/>
  <c r="K27" i="7"/>
  <c r="L27" i="7"/>
  <c r="C28" i="7"/>
  <c r="K28" i="7"/>
  <c r="L28" i="7"/>
  <c r="C29" i="7"/>
  <c r="K29" i="7"/>
  <c r="L29" i="7"/>
  <c r="C30" i="7"/>
  <c r="K30" i="7"/>
  <c r="L30" i="7"/>
  <c r="C31" i="7"/>
  <c r="K31" i="7"/>
  <c r="L31" i="7"/>
  <c r="C32" i="7"/>
  <c r="K32" i="7"/>
  <c r="L32" i="7"/>
  <c r="C33" i="7"/>
  <c r="K33" i="7"/>
  <c r="L33" i="7"/>
  <c r="C34" i="7"/>
  <c r="K34" i="7"/>
  <c r="L34" i="7"/>
  <c r="C35" i="7"/>
  <c r="K35" i="7"/>
  <c r="L35" i="7"/>
  <c r="C36" i="7"/>
  <c r="K36" i="7"/>
  <c r="L36" i="7"/>
  <c r="C37" i="7"/>
  <c r="K37" i="7"/>
  <c r="L37" i="7"/>
  <c r="C38" i="7"/>
  <c r="K38" i="7"/>
  <c r="L38" i="7"/>
  <c r="C39" i="7"/>
  <c r="K39" i="7"/>
  <c r="L39" i="7"/>
  <c r="C40" i="7"/>
  <c r="K40" i="7"/>
  <c r="L40" i="7"/>
  <c r="C41" i="7"/>
  <c r="K41" i="7"/>
  <c r="L41" i="7"/>
  <c r="C42" i="7"/>
  <c r="K42" i="7"/>
  <c r="L42" i="7"/>
  <c r="L46" i="7"/>
  <c r="L45" i="7"/>
  <c r="L44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H46" i="7"/>
  <c r="H45" i="7"/>
  <c r="H44" i="7"/>
  <c r="K46" i="7"/>
  <c r="K45" i="7"/>
  <c r="K44" i="7"/>
  <c r="G45" i="7"/>
  <c r="G44" i="7"/>
  <c r="G46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C3" i="7"/>
  <c r="B30" i="5"/>
  <c r="B31" i="5"/>
  <c r="B32" i="5"/>
  <c r="B33" i="5"/>
  <c r="B34" i="5"/>
  <c r="B35" i="5"/>
  <c r="B36" i="5"/>
  <c r="B37" i="5"/>
  <c r="B38" i="5"/>
  <c r="B39" i="5"/>
  <c r="B40" i="5"/>
  <c r="C40" i="5"/>
  <c r="C7" i="5"/>
  <c r="C34" i="5"/>
  <c r="C31" i="5"/>
  <c r="C32" i="5"/>
  <c r="C29" i="5"/>
  <c r="C30" i="5"/>
  <c r="C33" i="5"/>
  <c r="C35" i="5"/>
  <c r="C36" i="5"/>
  <c r="C37" i="5"/>
  <c r="C38" i="5"/>
  <c r="C39" i="5"/>
  <c r="G7" i="5"/>
  <c r="B8" i="5"/>
  <c r="C8" i="5"/>
  <c r="G8" i="5"/>
  <c r="B9" i="5"/>
  <c r="C9" i="5"/>
  <c r="G9" i="5"/>
  <c r="D7" i="5"/>
  <c r="E7" i="5"/>
  <c r="F7" i="5"/>
  <c r="D8" i="5"/>
  <c r="E8" i="5"/>
  <c r="F8" i="5"/>
  <c r="D9" i="5"/>
  <c r="E9" i="5"/>
  <c r="F9" i="5"/>
  <c r="B10" i="5"/>
  <c r="D10" i="5"/>
  <c r="E10" i="5"/>
  <c r="F10" i="5"/>
  <c r="B11" i="5"/>
  <c r="D11" i="5"/>
  <c r="E11" i="5"/>
  <c r="F11" i="5"/>
  <c r="B12" i="5"/>
  <c r="D12" i="5"/>
  <c r="E12" i="5"/>
  <c r="F12" i="5"/>
  <c r="B13" i="5"/>
  <c r="D13" i="5"/>
  <c r="E13" i="5"/>
  <c r="F13" i="5"/>
  <c r="B14" i="5"/>
  <c r="D14" i="5"/>
  <c r="E14" i="5"/>
  <c r="F14" i="5"/>
  <c r="B15" i="5"/>
  <c r="D15" i="5"/>
  <c r="E15" i="5"/>
  <c r="F15" i="5"/>
  <c r="B16" i="5"/>
  <c r="D16" i="5"/>
  <c r="E16" i="5"/>
  <c r="F16" i="5"/>
  <c r="B17" i="5"/>
  <c r="D17" i="5"/>
  <c r="E17" i="5"/>
  <c r="F17" i="5"/>
  <c r="B18" i="5"/>
  <c r="D18" i="5"/>
  <c r="E18" i="5"/>
  <c r="F18" i="5"/>
  <c r="B19" i="5"/>
  <c r="D19" i="5"/>
  <c r="E19" i="5"/>
  <c r="F19" i="5"/>
  <c r="B20" i="5"/>
  <c r="D20" i="5"/>
  <c r="E20" i="5"/>
  <c r="F20" i="5"/>
  <c r="B21" i="5"/>
  <c r="D21" i="5"/>
  <c r="E21" i="5"/>
  <c r="F21" i="5"/>
  <c r="B22" i="5"/>
  <c r="D22" i="5"/>
  <c r="E22" i="5"/>
  <c r="F22" i="5"/>
  <c r="B23" i="5"/>
  <c r="D23" i="5"/>
  <c r="E23" i="5"/>
  <c r="F23" i="5"/>
  <c r="B24" i="5"/>
  <c r="D24" i="5"/>
  <c r="E24" i="5"/>
  <c r="F24" i="5"/>
  <c r="B25" i="5"/>
  <c r="D25" i="5"/>
  <c r="E25" i="5"/>
  <c r="F25" i="5"/>
  <c r="B26" i="5"/>
  <c r="D26" i="5"/>
  <c r="E26" i="5"/>
  <c r="F26" i="5"/>
  <c r="C10" i="5"/>
  <c r="G10" i="5"/>
  <c r="C11" i="5"/>
  <c r="G11" i="5"/>
  <c r="C12" i="5"/>
  <c r="G12" i="5"/>
  <c r="C13" i="5"/>
  <c r="G13" i="5"/>
  <c r="C14" i="5"/>
  <c r="G14" i="5"/>
  <c r="C15" i="5"/>
  <c r="G15" i="5"/>
  <c r="C16" i="5"/>
  <c r="G16" i="5"/>
  <c r="C17" i="5"/>
  <c r="G17" i="5"/>
  <c r="C18" i="5"/>
  <c r="G18" i="5"/>
  <c r="C19" i="5"/>
  <c r="G19" i="5"/>
  <c r="C20" i="5"/>
  <c r="G20" i="5"/>
  <c r="C21" i="5"/>
  <c r="G21" i="5"/>
  <c r="C22" i="5"/>
  <c r="G22" i="5"/>
  <c r="C23" i="5"/>
  <c r="G23" i="5"/>
  <c r="C24" i="5"/>
  <c r="G24" i="5"/>
  <c r="C25" i="5"/>
  <c r="G25" i="5"/>
  <c r="C26" i="5"/>
  <c r="G26" i="5"/>
  <c r="D40" i="5"/>
  <c r="E40" i="5"/>
  <c r="D39" i="5"/>
  <c r="E39" i="5"/>
  <c r="D38" i="5"/>
  <c r="E38" i="5"/>
  <c r="D37" i="5"/>
  <c r="E37" i="5"/>
  <c r="F37" i="5"/>
  <c r="F38" i="5"/>
  <c r="F39" i="5"/>
  <c r="F40" i="5"/>
  <c r="G40" i="5"/>
  <c r="G39" i="5"/>
  <c r="G38" i="5"/>
  <c r="D36" i="5"/>
  <c r="E36" i="5"/>
  <c r="F36" i="5"/>
  <c r="G37" i="5"/>
  <c r="D35" i="5"/>
  <c r="E35" i="5"/>
  <c r="F35" i="5"/>
  <c r="G36" i="5"/>
  <c r="D34" i="5"/>
  <c r="E34" i="5"/>
  <c r="F34" i="5"/>
  <c r="G35" i="5"/>
  <c r="D33" i="5"/>
  <c r="E33" i="5"/>
  <c r="F33" i="5"/>
  <c r="G34" i="5"/>
  <c r="D32" i="5"/>
  <c r="E32" i="5"/>
  <c r="F32" i="5"/>
  <c r="G33" i="5"/>
  <c r="D31" i="5"/>
  <c r="E31" i="5"/>
  <c r="D30" i="5"/>
  <c r="E30" i="5"/>
  <c r="D29" i="5"/>
  <c r="E29" i="5"/>
  <c r="F29" i="5"/>
  <c r="F30" i="5"/>
  <c r="F31" i="5"/>
  <c r="G32" i="5"/>
  <c r="G31" i="5"/>
  <c r="G30" i="5"/>
  <c r="G29" i="5"/>
  <c r="I13" i="4"/>
  <c r="I12" i="4"/>
  <c r="I11" i="4"/>
  <c r="I10" i="4"/>
  <c r="I9" i="4"/>
  <c r="I8" i="4"/>
  <c r="I7" i="4"/>
  <c r="I6" i="4"/>
  <c r="I5" i="4"/>
  <c r="I4" i="4"/>
  <c r="I3" i="4"/>
  <c r="H13" i="4"/>
  <c r="H12" i="4"/>
  <c r="H11" i="4"/>
  <c r="H10" i="4"/>
  <c r="H9" i="4"/>
  <c r="H8" i="4"/>
  <c r="H7" i="4"/>
  <c r="H6" i="4"/>
  <c r="H5" i="4"/>
  <c r="H4" i="4"/>
  <c r="H3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C24" i="4"/>
  <c r="C45" i="4"/>
  <c r="C46" i="4"/>
  <c r="C47" i="4"/>
  <c r="C48" i="4"/>
  <c r="C49" i="4"/>
  <c r="C50" i="4"/>
  <c r="C51" i="4"/>
  <c r="C52" i="4"/>
  <c r="C53" i="4"/>
  <c r="C54" i="4"/>
  <c r="C55" i="4"/>
  <c r="F55" i="4"/>
  <c r="C25" i="4"/>
  <c r="C26" i="4"/>
  <c r="C27" i="4"/>
  <c r="C28" i="4"/>
  <c r="C29" i="4"/>
  <c r="C30" i="4"/>
  <c r="C31" i="4"/>
  <c r="C32" i="4"/>
  <c r="C33" i="4"/>
  <c r="C34" i="4"/>
  <c r="D34" i="4"/>
  <c r="D55" i="4"/>
  <c r="G55" i="4"/>
  <c r="F54" i="4"/>
  <c r="D33" i="4"/>
  <c r="D54" i="4"/>
  <c r="G54" i="4"/>
  <c r="F53" i="4"/>
  <c r="D32" i="4"/>
  <c r="D53" i="4"/>
  <c r="G53" i="4"/>
  <c r="F52" i="4"/>
  <c r="D31" i="4"/>
  <c r="D52" i="4"/>
  <c r="G52" i="4"/>
  <c r="F51" i="4"/>
  <c r="D30" i="4"/>
  <c r="D51" i="4"/>
  <c r="G51" i="4"/>
  <c r="F50" i="4"/>
  <c r="D29" i="4"/>
  <c r="D50" i="4"/>
  <c r="G50" i="4"/>
  <c r="F49" i="4"/>
  <c r="D28" i="4"/>
  <c r="D49" i="4"/>
  <c r="G49" i="4"/>
  <c r="F48" i="4"/>
  <c r="D27" i="4"/>
  <c r="D48" i="4"/>
  <c r="G48" i="4"/>
  <c r="F47" i="4"/>
  <c r="D26" i="4"/>
  <c r="D47" i="4"/>
  <c r="G47" i="4"/>
  <c r="F46" i="4"/>
  <c r="D25" i="4"/>
  <c r="D46" i="4"/>
  <c r="G46" i="4"/>
  <c r="F45" i="4"/>
  <c r="D24" i="4"/>
  <c r="D45" i="4"/>
  <c r="G45" i="4"/>
  <c r="C44" i="4"/>
  <c r="F44" i="4"/>
  <c r="C23" i="4"/>
  <c r="D23" i="4"/>
  <c r="D44" i="4"/>
  <c r="G44" i="4"/>
  <c r="C43" i="4"/>
  <c r="F43" i="4"/>
  <c r="C22" i="4"/>
  <c r="D22" i="4"/>
  <c r="D43" i="4"/>
  <c r="G43" i="4"/>
  <c r="C42" i="4"/>
  <c r="F42" i="4"/>
  <c r="C21" i="4"/>
  <c r="D21" i="4"/>
  <c r="D42" i="4"/>
  <c r="G42" i="4"/>
  <c r="C41" i="4"/>
  <c r="F41" i="4"/>
  <c r="C20" i="4"/>
  <c r="D20" i="4"/>
  <c r="D41" i="4"/>
  <c r="G41" i="4"/>
  <c r="C40" i="4"/>
  <c r="F40" i="4"/>
  <c r="C19" i="4"/>
  <c r="D19" i="4"/>
  <c r="D40" i="4"/>
  <c r="G40" i="4"/>
  <c r="C39" i="4"/>
  <c r="F39" i="4"/>
  <c r="C18" i="4"/>
  <c r="D18" i="4"/>
  <c r="D39" i="4"/>
  <c r="G39" i="4"/>
  <c r="C38" i="4"/>
  <c r="F38" i="4"/>
  <c r="C17" i="4"/>
  <c r="D17" i="4"/>
  <c r="D38" i="4"/>
  <c r="G38" i="4"/>
  <c r="C37" i="4"/>
  <c r="F37" i="4"/>
  <c r="C16" i="4"/>
  <c r="D16" i="4"/>
  <c r="D37" i="4"/>
  <c r="G37" i="4"/>
  <c r="C36" i="4"/>
  <c r="F36" i="4"/>
  <c r="C15" i="4"/>
  <c r="D15" i="4"/>
  <c r="D36" i="4"/>
  <c r="G36" i="4"/>
  <c r="C35" i="4"/>
  <c r="F35" i="4"/>
  <c r="C14" i="4"/>
  <c r="D14" i="4"/>
  <c r="D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D13" i="4"/>
  <c r="D12" i="4"/>
  <c r="D11" i="4"/>
  <c r="D10" i="4"/>
  <c r="D9" i="4"/>
  <c r="D8" i="4"/>
  <c r="D7" i="4"/>
  <c r="D6" i="4"/>
  <c r="D5" i="4"/>
  <c r="D4" i="4"/>
  <c r="D3" i="4"/>
  <c r="C4" i="4"/>
  <c r="C5" i="4"/>
  <c r="C6" i="4"/>
  <c r="C7" i="4"/>
  <c r="C8" i="4"/>
  <c r="C9" i="4"/>
  <c r="C10" i="4"/>
  <c r="C11" i="4"/>
  <c r="C12" i="4"/>
  <c r="C13" i="4"/>
  <c r="G7" i="4"/>
  <c r="F7" i="4"/>
  <c r="F3" i="4"/>
  <c r="G3" i="4"/>
  <c r="E4" i="4"/>
  <c r="F4" i="4"/>
  <c r="G4" i="4"/>
  <c r="E5" i="4"/>
  <c r="F5" i="4"/>
  <c r="G5" i="4"/>
  <c r="E6" i="4"/>
  <c r="F6" i="4"/>
  <c r="G6" i="4"/>
  <c r="E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F14" i="4"/>
  <c r="G14" i="4"/>
  <c r="C7" i="1"/>
  <c r="C6" i="1"/>
  <c r="D8" i="1"/>
  <c r="D6" i="1"/>
  <c r="D7" i="1"/>
  <c r="E7" i="1"/>
  <c r="B7" i="1"/>
  <c r="B6" i="1"/>
  <c r="B8" i="1"/>
  <c r="C40" i="1"/>
  <c r="E6" i="1"/>
  <c r="E8" i="1"/>
  <c r="E35" i="1"/>
  <c r="D35" i="1"/>
  <c r="C36" i="1"/>
  <c r="C41" i="1"/>
  <c r="G7" i="1"/>
  <c r="G8" i="1"/>
  <c r="G6" i="1"/>
  <c r="G9" i="1"/>
  <c r="G36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5" i="1"/>
  <c r="C37" i="1"/>
  <c r="C38" i="1"/>
  <c r="C42" i="1"/>
  <c r="C4" i="1"/>
  <c r="C5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5" i="1"/>
  <c r="E5" i="1"/>
  <c r="D4" i="1"/>
  <c r="B4" i="1"/>
  <c r="B9" i="1"/>
  <c r="B10" i="1"/>
  <c r="B11" i="1"/>
  <c r="B12" i="1"/>
  <c r="B5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E4" i="1"/>
  <c r="G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C43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E27" i="3"/>
  <c r="G27" i="3"/>
  <c r="E26" i="3"/>
  <c r="G26" i="3"/>
  <c r="E25" i="3"/>
  <c r="G25" i="3"/>
  <c r="E24" i="3"/>
  <c r="G24" i="3"/>
  <c r="E23" i="3"/>
  <c r="G23" i="3"/>
  <c r="E22" i="3"/>
  <c r="G22" i="3"/>
  <c r="E21" i="3"/>
  <c r="G21" i="3"/>
  <c r="E20" i="3"/>
  <c r="G20" i="3"/>
  <c r="E19" i="3"/>
  <c r="G19" i="3"/>
  <c r="E18" i="3"/>
  <c r="G18" i="3"/>
  <c r="E17" i="3"/>
  <c r="G17" i="3"/>
  <c r="E16" i="3"/>
  <c r="G16" i="3"/>
  <c r="E15" i="3"/>
  <c r="G15" i="3"/>
  <c r="E14" i="3"/>
  <c r="G14" i="3"/>
  <c r="E13" i="3"/>
  <c r="G13" i="3"/>
  <c r="E12" i="3"/>
  <c r="G12" i="3"/>
  <c r="E11" i="3"/>
  <c r="G11" i="3"/>
  <c r="E10" i="3"/>
  <c r="G10" i="3"/>
  <c r="E9" i="3"/>
  <c r="G9" i="3"/>
  <c r="E8" i="3"/>
  <c r="G8" i="3"/>
  <c r="E7" i="3"/>
  <c r="G7" i="3"/>
  <c r="E6" i="3"/>
  <c r="G6" i="3"/>
  <c r="E5" i="3"/>
  <c r="G5" i="3"/>
  <c r="E4" i="3"/>
  <c r="G4" i="3"/>
  <c r="G35" i="1"/>
  <c r="D28" i="2"/>
  <c r="E28" i="2"/>
  <c r="F28" i="2"/>
  <c r="G28" i="2"/>
  <c r="D27" i="2"/>
  <c r="E27" i="2"/>
  <c r="F27" i="2"/>
  <c r="G27" i="2"/>
  <c r="D26" i="2"/>
  <c r="E26" i="2"/>
  <c r="F26" i="2"/>
  <c r="G26" i="2"/>
  <c r="D25" i="2"/>
  <c r="E25" i="2"/>
  <c r="F25" i="2"/>
  <c r="G25" i="2"/>
  <c r="D24" i="2"/>
  <c r="E24" i="2"/>
  <c r="F24" i="2"/>
  <c r="G24" i="2"/>
  <c r="D23" i="2"/>
  <c r="E23" i="2"/>
  <c r="F23" i="2"/>
  <c r="G23" i="2"/>
  <c r="D22" i="2"/>
  <c r="E22" i="2"/>
  <c r="F22" i="2"/>
  <c r="G22" i="2"/>
  <c r="D21" i="2"/>
  <c r="E21" i="2"/>
  <c r="F21" i="2"/>
  <c r="G21" i="2"/>
  <c r="D20" i="2"/>
  <c r="E20" i="2"/>
  <c r="F20" i="2"/>
  <c r="G20" i="2"/>
  <c r="D19" i="2"/>
  <c r="E19" i="2"/>
  <c r="F19" i="2"/>
  <c r="G19" i="2"/>
  <c r="D18" i="2"/>
  <c r="E18" i="2"/>
  <c r="F18" i="2"/>
  <c r="G18" i="2"/>
  <c r="D17" i="2"/>
  <c r="E17" i="2"/>
  <c r="F17" i="2"/>
  <c r="G17" i="2"/>
  <c r="D16" i="2"/>
  <c r="E16" i="2"/>
  <c r="F16" i="2"/>
  <c r="G16" i="2"/>
  <c r="D15" i="2"/>
  <c r="E15" i="2"/>
  <c r="F15" i="2"/>
  <c r="G15" i="2"/>
  <c r="D14" i="2"/>
  <c r="E14" i="2"/>
  <c r="F14" i="2"/>
  <c r="G14" i="2"/>
  <c r="D13" i="2"/>
  <c r="E13" i="2"/>
  <c r="F13" i="2"/>
  <c r="G13" i="2"/>
  <c r="D12" i="2"/>
  <c r="E12" i="2"/>
  <c r="F12" i="2"/>
  <c r="G12" i="2"/>
  <c r="D11" i="2"/>
  <c r="E11" i="2"/>
  <c r="F11" i="2"/>
  <c r="G11" i="2"/>
  <c r="D10" i="2"/>
  <c r="E10" i="2"/>
  <c r="F10" i="2"/>
  <c r="G10" i="2"/>
  <c r="D9" i="2"/>
  <c r="E9" i="2"/>
  <c r="F9" i="2"/>
  <c r="G9" i="2"/>
  <c r="D8" i="2"/>
  <c r="E8" i="2"/>
  <c r="F8" i="2"/>
  <c r="G8" i="2"/>
  <c r="D7" i="2"/>
  <c r="E7" i="2"/>
  <c r="F7" i="2"/>
  <c r="G7" i="2"/>
  <c r="D6" i="2"/>
  <c r="E6" i="2"/>
  <c r="F6" i="2"/>
  <c r="G6" i="2"/>
  <c r="D5" i="2"/>
  <c r="E5" i="2"/>
  <c r="F5" i="2"/>
  <c r="G5" i="2"/>
  <c r="D4" i="2"/>
  <c r="E4" i="2"/>
  <c r="F4" i="2"/>
  <c r="G4" i="2"/>
  <c r="D3" i="2"/>
  <c r="E3" i="2"/>
  <c r="F3" i="2"/>
  <c r="G3" i="2"/>
</calcChain>
</file>

<file path=xl/sharedStrings.xml><?xml version="1.0" encoding="utf-8"?>
<sst xmlns="http://schemas.openxmlformats.org/spreadsheetml/2006/main" count="195" uniqueCount="96">
  <si>
    <t>Trade</t>
  </si>
  <si>
    <t>Price</t>
  </si>
  <si>
    <t>Size</t>
  </si>
  <si>
    <t>Notional</t>
  </si>
  <si>
    <t>Diff ^ 2</t>
  </si>
  <si>
    <t>Sum</t>
  </si>
  <si>
    <t>-</t>
  </si>
  <si>
    <t>Ratio</t>
  </si>
  <si>
    <t>Confidence</t>
  </si>
  <si>
    <t>Time Value</t>
  </si>
  <si>
    <t>Unit</t>
  </si>
  <si>
    <t>Milliseconds</t>
  </si>
  <si>
    <t xml:space="preserve"> = log(ms, e) || 0</t>
  </si>
  <si>
    <t xml:space="preserve"> = {} * e</t>
  </si>
  <si>
    <t>ms</t>
  </si>
  <si>
    <t>ss</t>
  </si>
  <si>
    <t>mm</t>
  </si>
  <si>
    <t>HH</t>
  </si>
  <si>
    <t>dd</t>
  </si>
  <si>
    <t>Return</t>
    <phoneticPr fontId="1"/>
  </si>
  <si>
    <t>-</t>
    <phoneticPr fontId="1"/>
  </si>
  <si>
    <t>Diff</t>
    <phoneticPr fontId="1"/>
  </si>
  <si>
    <t>Ask</t>
    <phoneticPr fontId="1"/>
  </si>
  <si>
    <t>Bid</t>
    <phoneticPr fontId="1"/>
  </si>
  <si>
    <t>Mid</t>
    <phoneticPr fontId="1"/>
  </si>
  <si>
    <t>Spread</t>
    <phoneticPr fontId="1"/>
  </si>
  <si>
    <t>Confidence</t>
    <phoneticPr fontId="1"/>
  </si>
  <si>
    <t>VWAP</t>
    <phoneticPr fontId="1"/>
  </si>
  <si>
    <t>VAR(Return)</t>
    <phoneticPr fontId="1"/>
  </si>
  <si>
    <t>STDEV(Return)</t>
    <phoneticPr fontId="1"/>
  </si>
  <si>
    <t>Last Price</t>
    <phoneticPr fontId="1"/>
  </si>
  <si>
    <t>Trend</t>
    <phoneticPr fontId="1"/>
  </si>
  <si>
    <t>SIGMA</t>
    <phoneticPr fontId="1"/>
  </si>
  <si>
    <t>Type</t>
  </si>
  <si>
    <t>Funding (JPY)</t>
  </si>
  <si>
    <t>Buy Size</t>
  </si>
  <si>
    <t>Sell Size</t>
  </si>
  <si>
    <t>Cash</t>
  </si>
  <si>
    <t>Margin</t>
  </si>
  <si>
    <t>Funding Exposure</t>
    <phoneticPr fontId="1"/>
  </si>
  <si>
    <t>Instrument Exposure</t>
    <phoneticPr fontId="1"/>
  </si>
  <si>
    <t>Exposure %</t>
    <phoneticPr fontId="1"/>
  </si>
  <si>
    <t>Instrument (BTC)</t>
    <phoneticPr fontId="1"/>
  </si>
  <si>
    <t>Time</t>
    <phoneticPr fontId="1"/>
  </si>
  <si>
    <t>Price</t>
    <phoneticPr fontId="1"/>
  </si>
  <si>
    <t>Size</t>
    <phoneticPr fontId="1"/>
  </si>
  <si>
    <t>Bucket</t>
    <phoneticPr fontId="1"/>
  </si>
  <si>
    <t>Notional</t>
    <phoneticPr fontId="1"/>
  </si>
  <si>
    <t>From</t>
    <phoneticPr fontId="1"/>
  </si>
  <si>
    <t>To</t>
    <phoneticPr fontId="1"/>
  </si>
  <si>
    <t>Interval</t>
    <phoneticPr fontId="1"/>
  </si>
  <si>
    <t>Trade</t>
    <phoneticPr fontId="1"/>
  </si>
  <si>
    <t>Date</t>
  </si>
  <si>
    <t>Millis JST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</si>
  <si>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</si>
  <si>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</si>
  <si>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</si>
  <si>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</si>
  <si>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</si>
  <si>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</si>
  <si>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</si>
  <si>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</si>
  <si>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</si>
  <si>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</si>
  <si>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</si>
  <si>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</si>
  <si>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</si>
  <si>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</si>
  <si>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</si>
  <si>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</si>
  <si>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</si>
  <si>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</si>
  <si>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</si>
  <si>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</si>
  <si>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</si>
  <si>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</si>
  <si>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</si>
  <si>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</si>
  <si>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</si>
  <si>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Deviation</t>
  </si>
  <si>
    <t>Average</t>
  </si>
  <si>
    <t>Returns</t>
  </si>
  <si>
    <t>Estimate %</t>
  </si>
  <si>
    <t>Estimate Px</t>
  </si>
  <si>
    <t>Diff Px</t>
  </si>
  <si>
    <t>Diff Px %</t>
  </si>
  <si>
    <t>Spread</t>
    <phoneticPr fontId="1"/>
  </si>
  <si>
    <t>Slice</t>
    <phoneticPr fontId="1"/>
  </si>
  <si>
    <t>Interval</t>
    <phoneticPr fontId="1"/>
  </si>
  <si>
    <t>Buy Price</t>
    <phoneticPr fontId="1"/>
  </si>
  <si>
    <t>Sell Price</t>
    <phoneticPr fontId="1"/>
  </si>
  <si>
    <t>Delta</t>
    <phoneticPr fontId="1"/>
  </si>
  <si>
    <t>Buy Basis</t>
    <phoneticPr fontId="1"/>
  </si>
  <si>
    <t>#</t>
    <phoneticPr fontId="1"/>
  </si>
  <si>
    <t>Sell Basis</t>
    <phoneticPr fontId="1"/>
  </si>
  <si>
    <t>vs Spread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</si>
</sst>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.00000000"/>
    <numFmt numFmtId="177" formatCode="0.000000"/>
    <numFmt numFmtId="178" formatCode="#,##0.0000_ "/>
    <numFmt numFmtId="179" formatCode="#,##0.000000000000"/>
    <numFmt numFmtId="180" formatCode="#,##0.00_ "/>
    <numFmt numFmtId="181" formatCode="#,##0_ "/>
    <numFmt numFmtId="182" formatCode="#,##0.0000000000_ "/>
    <numFmt numFmtId="183" formatCode="yyyy\-mm\-dd"/>
    <numFmt numFmtId="186" formatCode="#,##0.000000_ ;[Red]\-#,##0.000000\ "/>
    <numFmt numFmtId="187" formatCode="#,##0_ ;[Red]\-#,##0\ "/>
  </numFmts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MS Mincho"/>
      <family val="1"/>
      <charset val="128"/>
    </font>
    <font>
      <sz val="12"/>
      <color theme="1"/>
      <name val="ＭＳ 明朝"/>
      <family val="1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ＭＳ 明朝"/>
      <family val="1"/>
      <charset val="128"/>
    </font>
    <font>
      <i/>
      <sz val="12"/>
      <color theme="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1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3" xfId="0" applyFont="1" applyBorder="1"/>
    <xf numFmtId="176" fontId="2" fillId="0" borderId="14" xfId="0" applyNumberFormat="1" applyFont="1" applyBorder="1"/>
    <xf numFmtId="176" fontId="2" fillId="0" borderId="15" xfId="0" applyNumberFormat="1" applyFont="1" applyBorder="1"/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77" fontId="2" fillId="0" borderId="0" xfId="0" applyNumberFormat="1" applyFont="1"/>
    <xf numFmtId="3" fontId="2" fillId="0" borderId="7" xfId="0" applyNumberFormat="1" applyFont="1" applyBorder="1"/>
    <xf numFmtId="3" fontId="2" fillId="0" borderId="8" xfId="0" applyNumberFormat="1" applyFont="1" applyBorder="1" applyAlignment="1">
      <alignment horizontal="center"/>
    </xf>
    <xf numFmtId="3" fontId="2" fillId="0" borderId="8" xfId="0" applyNumberFormat="1" applyFont="1" applyBorder="1"/>
    <xf numFmtId="3" fontId="2" fillId="0" borderId="13" xfId="0" applyNumberFormat="1" applyFont="1" applyBorder="1"/>
    <xf numFmtId="3" fontId="2" fillId="0" borderId="14" xfId="0" applyNumberFormat="1" applyFont="1" applyBorder="1" applyAlignment="1">
      <alignment horizontal="center"/>
    </xf>
    <xf numFmtId="3" fontId="2" fillId="0" borderId="14" xfId="0" applyNumberFormat="1" applyFont="1" applyBorder="1"/>
    <xf numFmtId="3" fontId="2" fillId="0" borderId="16" xfId="0" applyNumberFormat="1" applyFont="1" applyBorder="1"/>
    <xf numFmtId="3" fontId="2" fillId="0" borderId="17" xfId="0" applyNumberFormat="1" applyFont="1" applyBorder="1" applyAlignment="1">
      <alignment horizontal="center"/>
    </xf>
    <xf numFmtId="3" fontId="2" fillId="0" borderId="17" xfId="0" applyNumberFormat="1" applyFont="1" applyBorder="1"/>
    <xf numFmtId="176" fontId="2" fillId="0" borderId="17" xfId="0" applyNumberFormat="1" applyFont="1" applyBorder="1"/>
    <xf numFmtId="176" fontId="2" fillId="0" borderId="18" xfId="0" applyNumberFormat="1" applyFont="1" applyBorder="1"/>
    <xf numFmtId="0" fontId="3" fillId="0" borderId="0" xfId="0" applyFont="1"/>
    <xf numFmtId="178" fontId="3" fillId="0" borderId="0" xfId="0" applyNumberFormat="1" applyFont="1"/>
    <xf numFmtId="178" fontId="3" fillId="0" borderId="8" xfId="0" applyNumberFormat="1" applyFont="1" applyBorder="1"/>
    <xf numFmtId="178" fontId="3" fillId="0" borderId="14" xfId="0" applyNumberFormat="1" applyFont="1" applyBorder="1"/>
    <xf numFmtId="178" fontId="3" fillId="0" borderId="17" xfId="0" applyNumberFormat="1" applyFont="1" applyBorder="1"/>
    <xf numFmtId="178" fontId="3" fillId="0" borderId="16" xfId="0" applyNumberFormat="1" applyFont="1" applyBorder="1"/>
    <xf numFmtId="178" fontId="3" fillId="0" borderId="18" xfId="0" applyNumberFormat="1" applyFont="1" applyBorder="1"/>
    <xf numFmtId="178" fontId="3" fillId="0" borderId="7" xfId="0" applyNumberFormat="1" applyFont="1" applyBorder="1"/>
    <xf numFmtId="178" fontId="3" fillId="0" borderId="9" xfId="0" applyNumberFormat="1" applyFont="1" applyBorder="1"/>
    <xf numFmtId="178" fontId="3" fillId="0" borderId="13" xfId="0" applyNumberFormat="1" applyFont="1" applyBorder="1"/>
    <xf numFmtId="178" fontId="3" fillId="0" borderId="15" xfId="0" applyNumberFormat="1" applyFont="1" applyBorder="1"/>
    <xf numFmtId="179" fontId="2" fillId="0" borderId="5" xfId="0" applyNumberFormat="1" applyFont="1" applyBorder="1" applyAlignment="1">
      <alignment horizontal="center"/>
    </xf>
    <xf numFmtId="179" fontId="2" fillId="0" borderId="6" xfId="0" applyNumberFormat="1" applyFont="1" applyBorder="1" applyAlignment="1">
      <alignment horizontal="center"/>
    </xf>
    <xf numFmtId="179" fontId="2" fillId="0" borderId="8" xfId="0" applyNumberFormat="1" applyFont="1" applyBorder="1"/>
    <xf numFmtId="179" fontId="2" fillId="0" borderId="8" xfId="0" applyNumberFormat="1" applyFont="1" applyBorder="1" applyAlignment="1">
      <alignment horizontal="center"/>
    </xf>
    <xf numFmtId="179" fontId="2" fillId="0" borderId="9" xfId="0" applyNumberFormat="1" applyFont="1" applyBorder="1" applyAlignment="1">
      <alignment horizontal="center"/>
    </xf>
    <xf numFmtId="179" fontId="2" fillId="0" borderId="9" xfId="0" applyNumberFormat="1" applyFont="1" applyBorder="1"/>
    <xf numFmtId="179" fontId="2" fillId="0" borderId="11" xfId="0" applyNumberFormat="1" applyFont="1" applyBorder="1"/>
    <xf numFmtId="179" fontId="2" fillId="0" borderId="12" xfId="0" applyNumberFormat="1" applyFont="1" applyBorder="1"/>
    <xf numFmtId="179" fontId="2" fillId="0" borderId="5" xfId="0" applyNumberFormat="1" applyFont="1" applyBorder="1"/>
    <xf numFmtId="179" fontId="2" fillId="0" borderId="6" xfId="0" applyNumberFormat="1" applyFont="1" applyBorder="1"/>
    <xf numFmtId="179" fontId="2" fillId="0" borderId="8" xfId="0" applyNumberFormat="1" applyFont="1" applyFill="1" applyBorder="1"/>
    <xf numFmtId="179" fontId="2" fillId="0" borderId="14" xfId="0" applyNumberFormat="1" applyFont="1" applyBorder="1"/>
    <xf numFmtId="179" fontId="2" fillId="0" borderId="14" xfId="0" applyNumberFormat="1" applyFont="1" applyBorder="1" applyAlignment="1">
      <alignment horizontal="center"/>
    </xf>
    <xf numFmtId="179" fontId="2" fillId="0" borderId="15" xfId="0" applyNumberFormat="1" applyFont="1" applyBorder="1" applyAlignment="1">
      <alignment horizontal="center"/>
    </xf>
    <xf numFmtId="179" fontId="2" fillId="0" borderId="0" xfId="0" applyNumberFormat="1" applyFont="1"/>
    <xf numFmtId="178" fontId="3" fillId="2" borderId="19" xfId="0" applyNumberFormat="1" applyFont="1" applyFill="1" applyBorder="1" applyAlignment="1">
      <alignment horizontal="center"/>
    </xf>
    <xf numFmtId="178" fontId="3" fillId="2" borderId="20" xfId="0" applyNumberFormat="1" applyFont="1" applyFill="1" applyBorder="1" applyAlignment="1">
      <alignment horizontal="center"/>
    </xf>
    <xf numFmtId="178" fontId="3" fillId="2" borderId="21" xfId="0" applyNumberFormat="1" applyFont="1" applyFill="1" applyBorder="1" applyAlignment="1">
      <alignment horizontal="center"/>
    </xf>
    <xf numFmtId="3" fontId="2" fillId="2" borderId="19" xfId="0" applyNumberFormat="1" applyFont="1" applyFill="1" applyBorder="1" applyAlignment="1">
      <alignment horizontal="center"/>
    </xf>
    <xf numFmtId="3" fontId="2" fillId="2" borderId="20" xfId="0" applyNumberFormat="1" applyFont="1" applyFill="1" applyBorder="1" applyAlignment="1">
      <alignment horizontal="center"/>
    </xf>
    <xf numFmtId="176" fontId="2" fillId="2" borderId="20" xfId="0" quotePrefix="1" applyNumberFormat="1" applyFont="1" applyFill="1" applyBorder="1" applyAlignment="1">
      <alignment horizontal="center"/>
    </xf>
    <xf numFmtId="176" fontId="2" fillId="2" borderId="2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9" fontId="2" fillId="2" borderId="2" xfId="0" applyNumberFormat="1" applyFont="1" applyFill="1" applyBorder="1" applyAlignment="1">
      <alignment horizontal="center"/>
    </xf>
    <xf numFmtId="179" fontId="2" fillId="2" borderId="3" xfId="0" applyNumberFormat="1" applyFont="1" applyFill="1" applyBorder="1" applyAlignment="1">
      <alignment horizontal="center"/>
    </xf>
    <xf numFmtId="179" fontId="2" fillId="3" borderId="8" xfId="0" applyNumberFormat="1" applyFont="1" applyFill="1" applyBorder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22" xfId="0" applyFont="1" applyBorder="1"/>
    <xf numFmtId="0" fontId="3" fillId="0" borderId="33" xfId="0" applyFont="1" applyBorder="1"/>
    <xf numFmtId="0" fontId="3" fillId="0" borderId="36" xfId="0" applyFont="1" applyBorder="1"/>
    <xf numFmtId="9" fontId="3" fillId="0" borderId="30" xfId="0" applyNumberFormat="1" applyFont="1" applyBorder="1"/>
    <xf numFmtId="9" fontId="3" fillId="0" borderId="9" xfId="0" applyNumberFormat="1" applyFont="1" applyBorder="1"/>
    <xf numFmtId="9" fontId="3" fillId="3" borderId="9" xfId="0" applyNumberFormat="1" applyFont="1" applyFill="1" applyBorder="1"/>
    <xf numFmtId="9" fontId="3" fillId="0" borderId="15" xfId="0" applyNumberFormat="1" applyFont="1" applyBorder="1"/>
    <xf numFmtId="9" fontId="3" fillId="0" borderId="18" xfId="0" applyNumberFormat="1" applyFont="1" applyBorder="1"/>
    <xf numFmtId="180" fontId="3" fillId="0" borderId="31" xfId="0" applyNumberFormat="1" applyFont="1" applyBorder="1"/>
    <xf numFmtId="180" fontId="3" fillId="0" borderId="32" xfId="0" applyNumberFormat="1" applyFont="1" applyBorder="1"/>
    <xf numFmtId="180" fontId="3" fillId="0" borderId="28" xfId="0" applyNumberFormat="1" applyFont="1" applyBorder="1"/>
    <xf numFmtId="180" fontId="3" fillId="0" borderId="30" xfId="0" applyNumberFormat="1" applyFont="1" applyBorder="1"/>
    <xf numFmtId="180" fontId="3" fillId="0" borderId="34" xfId="0" applyNumberFormat="1" applyFont="1" applyBorder="1"/>
    <xf numFmtId="180" fontId="3" fillId="0" borderId="35" xfId="0" applyNumberFormat="1" applyFont="1" applyBorder="1"/>
    <xf numFmtId="180" fontId="3" fillId="0" borderId="7" xfId="0" applyNumberFormat="1" applyFont="1" applyBorder="1"/>
    <xf numFmtId="180" fontId="3" fillId="0" borderId="9" xfId="0" applyNumberFormat="1" applyFont="1" applyBorder="1"/>
    <xf numFmtId="180" fontId="3" fillId="3" borderId="34" xfId="0" applyNumberFormat="1" applyFont="1" applyFill="1" applyBorder="1"/>
    <xf numFmtId="180" fontId="3" fillId="3" borderId="35" xfId="0" applyNumberFormat="1" applyFont="1" applyFill="1" applyBorder="1"/>
    <xf numFmtId="180" fontId="3" fillId="3" borderId="7" xfId="0" applyNumberFormat="1" applyFont="1" applyFill="1" applyBorder="1"/>
    <xf numFmtId="180" fontId="3" fillId="3" borderId="9" xfId="0" applyNumberFormat="1" applyFont="1" applyFill="1" applyBorder="1"/>
    <xf numFmtId="180" fontId="3" fillId="0" borderId="37" xfId="0" applyNumberFormat="1" applyFont="1" applyBorder="1"/>
    <xf numFmtId="180" fontId="3" fillId="0" borderId="38" xfId="0" applyNumberFormat="1" applyFont="1" applyBorder="1"/>
    <xf numFmtId="180" fontId="3" fillId="0" borderId="13" xfId="0" applyNumberFormat="1" applyFont="1" applyBorder="1"/>
    <xf numFmtId="180" fontId="3" fillId="0" borderId="15" xfId="0" applyNumberFormat="1" applyFont="1" applyBorder="1"/>
    <xf numFmtId="180" fontId="3" fillId="0" borderId="39" xfId="0" applyNumberFormat="1" applyFont="1" applyBorder="1"/>
    <xf numFmtId="180" fontId="3" fillId="0" borderId="40" xfId="0" applyNumberFormat="1" applyFont="1" applyBorder="1"/>
    <xf numFmtId="180" fontId="3" fillId="0" borderId="16" xfId="0" applyNumberFormat="1" applyFont="1" applyBorder="1"/>
    <xf numFmtId="180" fontId="3" fillId="0" borderId="18" xfId="0" applyNumberFormat="1" applyFont="1" applyBorder="1"/>
    <xf numFmtId="180" fontId="3" fillId="0" borderId="29" xfId="0" applyNumberFormat="1" applyFont="1" applyBorder="1"/>
    <xf numFmtId="180" fontId="3" fillId="0" borderId="8" xfId="0" applyNumberFormat="1" applyFont="1" applyBorder="1"/>
    <xf numFmtId="180" fontId="3" fillId="3" borderId="8" xfId="0" applyNumberFormat="1" applyFont="1" applyFill="1" applyBorder="1"/>
    <xf numFmtId="180" fontId="3" fillId="0" borderId="14" xfId="0" applyNumberFormat="1" applyFont="1" applyBorder="1"/>
    <xf numFmtId="180" fontId="6" fillId="0" borderId="17" xfId="0" applyNumberFormat="1" applyFont="1" applyBorder="1"/>
    <xf numFmtId="180" fontId="3" fillId="4" borderId="28" xfId="0" applyNumberFormat="1" applyFont="1" applyFill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2" borderId="28" xfId="0" applyFont="1" applyFill="1" applyBorder="1"/>
    <xf numFmtId="181" fontId="3" fillId="0" borderId="30" xfId="0" applyNumberFormat="1" applyFont="1" applyBorder="1"/>
    <xf numFmtId="0" fontId="3" fillId="2" borderId="7" xfId="0" applyFont="1" applyFill="1" applyBorder="1"/>
    <xf numFmtId="181" fontId="3" fillId="0" borderId="9" xfId="0" applyNumberFormat="1" applyFont="1" applyBorder="1"/>
    <xf numFmtId="0" fontId="3" fillId="2" borderId="13" xfId="0" applyFont="1" applyFill="1" applyBorder="1"/>
    <xf numFmtId="181" fontId="3" fillId="0" borderId="15" xfId="0" applyNumberFormat="1" applyFont="1" applyBorder="1"/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181" fontId="3" fillId="0" borderId="16" xfId="0" applyNumberFormat="1" applyFont="1" applyBorder="1"/>
    <xf numFmtId="181" fontId="3" fillId="0" borderId="17" xfId="0" applyNumberFormat="1" applyFont="1" applyBorder="1"/>
    <xf numFmtId="181" fontId="3" fillId="0" borderId="18" xfId="0" applyNumberFormat="1" applyFont="1" applyBorder="1"/>
    <xf numFmtId="181" fontId="3" fillId="0" borderId="7" xfId="0" applyNumberFormat="1" applyFont="1" applyBorder="1"/>
    <xf numFmtId="181" fontId="3" fillId="0" borderId="8" xfId="0" applyNumberFormat="1" applyFont="1" applyBorder="1"/>
    <xf numFmtId="181" fontId="3" fillId="0" borderId="13" xfId="0" applyNumberFormat="1" applyFont="1" applyBorder="1"/>
    <xf numFmtId="181" fontId="3" fillId="0" borderId="14" xfId="0" applyNumberFormat="1" applyFont="1" applyBorder="1"/>
    <xf numFmtId="182" fontId="3" fillId="0" borderId="17" xfId="0" applyNumberFormat="1" applyFont="1" applyBorder="1"/>
    <xf numFmtId="182" fontId="3" fillId="0" borderId="18" xfId="0" applyNumberFormat="1" applyFont="1" applyBorder="1"/>
    <xf numFmtId="182" fontId="3" fillId="0" borderId="8" xfId="0" applyNumberFormat="1" applyFont="1" applyBorder="1"/>
    <xf numFmtId="182" fontId="3" fillId="0" borderId="9" xfId="0" applyNumberFormat="1" applyFont="1" applyBorder="1"/>
    <xf numFmtId="182" fontId="3" fillId="0" borderId="0" xfId="0" applyNumberFormat="1" applyFont="1"/>
    <xf numFmtId="182" fontId="3" fillId="0" borderId="14" xfId="0" applyNumberFormat="1" applyFont="1" applyBorder="1"/>
    <xf numFmtId="182" fontId="3" fillId="0" borderId="15" xfId="0" applyNumberFormat="1" applyFont="1" applyBorder="1"/>
    <xf numFmtId="181" fontId="3" fillId="0" borderId="0" xfId="0" applyNumberFormat="1" applyFont="1"/>
    <xf numFmtId="0" fontId="2" fillId="2" borderId="44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183" fontId="2" fillId="0" borderId="16" xfId="0" applyNumberFormat="1" applyFont="1" applyBorder="1"/>
    <xf numFmtId="1" fontId="2" fillId="0" borderId="17" xfId="0" applyNumberFormat="1" applyFont="1" applyBorder="1"/>
    <xf numFmtId="4" fontId="2" fillId="0" borderId="17" xfId="0" applyNumberFormat="1" applyFont="1" applyBorder="1"/>
    <xf numFmtId="183" fontId="2" fillId="0" borderId="7" xfId="0" applyNumberFormat="1" applyFont="1" applyBorder="1"/>
    <xf numFmtId="1" fontId="2" fillId="0" borderId="8" xfId="0" applyNumberFormat="1" applyFont="1" applyBorder="1"/>
    <xf numFmtId="4" fontId="2" fillId="0" borderId="8" xfId="0" applyNumberFormat="1" applyFont="1" applyBorder="1"/>
    <xf numFmtId="10" fontId="2" fillId="0" borderId="9" xfId="0" applyNumberFormat="1" applyFont="1" applyBorder="1"/>
    <xf numFmtId="183" fontId="2" fillId="0" borderId="13" xfId="0" applyNumberFormat="1" applyFont="1" applyBorder="1"/>
    <xf numFmtId="1" fontId="2" fillId="0" borderId="14" xfId="0" applyNumberFormat="1" applyFont="1" applyBorder="1"/>
    <xf numFmtId="4" fontId="2" fillId="0" borderId="14" xfId="0" applyNumberFormat="1" applyFont="1" applyBorder="1"/>
    <xf numFmtId="10" fontId="2" fillId="0" borderId="15" xfId="0" applyNumberFormat="1" applyFont="1" applyBorder="1"/>
    <xf numFmtId="0" fontId="2" fillId="2" borderId="49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47" xfId="0" applyFill="1" applyBorder="1" applyAlignment="1"/>
    <xf numFmtId="0" fontId="7" fillId="0" borderId="48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Continuous"/>
    </xf>
    <xf numFmtId="4" fontId="2" fillId="0" borderId="34" xfId="0" applyNumberFormat="1" applyFont="1" applyBorder="1"/>
    <xf numFmtId="4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10" fontId="2" fillId="0" borderId="39" xfId="0" applyNumberFormat="1" applyFont="1" applyBorder="1" applyAlignment="1">
      <alignment horizontal="center"/>
    </xf>
    <xf numFmtId="10" fontId="2" fillId="0" borderId="34" xfId="0" applyNumberFormat="1" applyFont="1" applyBorder="1"/>
    <xf numFmtId="10" fontId="2" fillId="0" borderId="37" xfId="0" applyNumberFormat="1" applyFont="1" applyBorder="1"/>
    <xf numFmtId="183" fontId="2" fillId="0" borderId="52" xfId="0" applyNumberFormat="1" applyFont="1" applyBorder="1"/>
    <xf numFmtId="1" fontId="2" fillId="0" borderId="53" xfId="0" applyNumberFormat="1" applyFont="1" applyBorder="1"/>
    <xf numFmtId="4" fontId="2" fillId="0" borderId="53" xfId="0" applyNumberFormat="1" applyFont="1" applyBorder="1"/>
    <xf numFmtId="10" fontId="2" fillId="0" borderId="54" xfId="0" applyNumberFormat="1" applyFont="1" applyBorder="1"/>
    <xf numFmtId="0" fontId="2" fillId="0" borderId="55" xfId="0" applyFont="1" applyBorder="1"/>
    <xf numFmtId="0" fontId="2" fillId="0" borderId="50" xfId="0" applyFont="1" applyBorder="1"/>
    <xf numFmtId="4" fontId="2" fillId="0" borderId="50" xfId="0" applyNumberFormat="1" applyFont="1" applyBorder="1"/>
    <xf numFmtId="10" fontId="2" fillId="0" borderId="56" xfId="0" applyNumberFormat="1" applyFont="1" applyBorder="1"/>
    <xf numFmtId="0" fontId="2" fillId="0" borderId="57" xfId="0" applyFont="1" applyBorder="1"/>
    <xf numFmtId="0" fontId="2" fillId="0" borderId="51" xfId="0" applyFont="1" applyBorder="1"/>
    <xf numFmtId="4" fontId="2" fillId="0" borderId="51" xfId="0" applyNumberFormat="1" applyFont="1" applyBorder="1"/>
    <xf numFmtId="10" fontId="2" fillId="0" borderId="58" xfId="0" applyNumberFormat="1" applyFont="1" applyBorder="1"/>
    <xf numFmtId="4" fontId="2" fillId="0" borderId="52" xfId="0" applyNumberFormat="1" applyFont="1" applyBorder="1"/>
    <xf numFmtId="183" fontId="2" fillId="0" borderId="44" xfId="0" applyNumberFormat="1" applyFont="1" applyBorder="1"/>
    <xf numFmtId="1" fontId="2" fillId="0" borderId="45" xfId="0" applyNumberFormat="1" applyFont="1" applyBorder="1"/>
    <xf numFmtId="186" fontId="3" fillId="0" borderId="0" xfId="0" applyNumberFormat="1" applyFont="1"/>
    <xf numFmtId="186" fontId="3" fillId="2" borderId="28" xfId="0" applyNumberFormat="1" applyFont="1" applyFill="1" applyBorder="1"/>
    <xf numFmtId="186" fontId="3" fillId="4" borderId="30" xfId="0" applyNumberFormat="1" applyFont="1" applyFill="1" applyBorder="1"/>
    <xf numFmtId="186" fontId="3" fillId="2" borderId="44" xfId="0" applyNumberFormat="1" applyFont="1" applyFill="1" applyBorder="1" applyAlignment="1">
      <alignment horizontal="center"/>
    </xf>
    <xf numFmtId="186" fontId="3" fillId="2" borderId="45" xfId="0" applyNumberFormat="1" applyFont="1" applyFill="1" applyBorder="1" applyAlignment="1">
      <alignment horizontal="center"/>
    </xf>
    <xf numFmtId="186" fontId="3" fillId="2" borderId="7" xfId="0" applyNumberFormat="1" applyFont="1" applyFill="1" applyBorder="1"/>
    <xf numFmtId="186" fontId="3" fillId="0" borderId="16" xfId="0" applyNumberFormat="1" applyFont="1" applyBorder="1"/>
    <xf numFmtId="186" fontId="3" fillId="0" borderId="17" xfId="0" applyNumberFormat="1" applyFont="1" applyBorder="1"/>
    <xf numFmtId="186" fontId="3" fillId="2" borderId="59" xfId="0" applyNumberFormat="1" applyFont="1" applyFill="1" applyBorder="1"/>
    <xf numFmtId="186" fontId="3" fillId="0" borderId="60" xfId="0" applyNumberFormat="1" applyFont="1" applyBorder="1"/>
    <xf numFmtId="186" fontId="3" fillId="0" borderId="7" xfId="0" applyNumberFormat="1" applyFont="1" applyBorder="1"/>
    <xf numFmtId="186" fontId="3" fillId="0" borderId="8" xfId="0" applyNumberFormat="1" applyFont="1" applyBorder="1"/>
    <xf numFmtId="186" fontId="3" fillId="4" borderId="60" xfId="0" applyNumberFormat="1" applyFont="1" applyFill="1" applyBorder="1"/>
    <xf numFmtId="186" fontId="3" fillId="2" borderId="13" xfId="0" applyNumberFormat="1" applyFont="1" applyFill="1" applyBorder="1"/>
    <xf numFmtId="186" fontId="3" fillId="0" borderId="15" xfId="0" applyNumberFormat="1" applyFont="1" applyFill="1" applyBorder="1"/>
    <xf numFmtId="186" fontId="3" fillId="0" borderId="13" xfId="0" applyNumberFormat="1" applyFont="1" applyBorder="1"/>
    <xf numFmtId="186" fontId="3" fillId="0" borderId="14" xfId="0" applyNumberFormat="1" applyFont="1" applyBorder="1"/>
    <xf numFmtId="186" fontId="3" fillId="2" borderId="46" xfId="0" applyNumberFormat="1" applyFont="1" applyFill="1" applyBorder="1" applyAlignment="1">
      <alignment horizontal="center"/>
    </xf>
    <xf numFmtId="186" fontId="3" fillId="0" borderId="18" xfId="0" applyNumberFormat="1" applyFont="1" applyBorder="1"/>
    <xf numFmtId="186" fontId="3" fillId="2" borderId="61" xfId="0" applyNumberFormat="1" applyFont="1" applyFill="1" applyBorder="1" applyAlignment="1">
      <alignment horizontal="center"/>
    </xf>
    <xf numFmtId="186" fontId="3" fillId="2" borderId="49" xfId="0" applyNumberFormat="1" applyFont="1" applyFill="1" applyBorder="1" applyAlignment="1">
      <alignment horizontal="center"/>
    </xf>
    <xf numFmtId="186" fontId="3" fillId="0" borderId="39" xfId="0" applyNumberFormat="1" applyFont="1" applyBorder="1"/>
    <xf numFmtId="187" fontId="3" fillId="0" borderId="62" xfId="0" applyNumberFormat="1" applyFont="1" applyBorder="1"/>
    <xf numFmtId="187" fontId="3" fillId="0" borderId="55" xfId="0" applyNumberFormat="1" applyFont="1" applyBorder="1"/>
    <xf numFmtId="187" fontId="3" fillId="0" borderId="57" xfId="0" applyNumberFormat="1" applyFont="1" applyBorder="1"/>
    <xf numFmtId="187" fontId="3" fillId="4" borderId="9" xfId="0" applyNumberFormat="1" applyFont="1" applyFill="1" applyBorder="1"/>
    <xf numFmtId="186" fontId="3" fillId="0" borderId="34" xfId="0" applyNumberFormat="1" applyFont="1" applyBorder="1"/>
    <xf numFmtId="186" fontId="3" fillId="0" borderId="37" xfId="0" applyNumberFormat="1" applyFont="1" applyBorder="1"/>
    <xf numFmtId="186" fontId="3" fillId="0" borderId="9" xfId="0" applyNumberFormat="1" applyFont="1" applyBorder="1"/>
    <xf numFmtId="186" fontId="3" fillId="0" borderId="15" xfId="0" applyNumberFormat="1" applyFont="1" applyBorder="1"/>
  </cellXfs>
  <cellStyles count="1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Regression!$D$2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Regression!$C$4:$C$42</c:f>
              <c:numCache>
                <c:formatCode>0</c:formatCode>
                <c:ptCount val="39"/>
                <c:pt idx="0">
                  <c:v>1.4912316E12</c:v>
                </c:pt>
                <c:pt idx="1">
                  <c:v>1.491318E12</c:v>
                </c:pt>
                <c:pt idx="2">
                  <c:v>1.4914044E12</c:v>
                </c:pt>
                <c:pt idx="3">
                  <c:v>1.4914908E12</c:v>
                </c:pt>
                <c:pt idx="4">
                  <c:v>1.49175E12</c:v>
                </c:pt>
                <c:pt idx="5">
                  <c:v>1.4918364E12</c:v>
                </c:pt>
                <c:pt idx="6">
                  <c:v>1.4919228E12</c:v>
                </c:pt>
                <c:pt idx="7">
                  <c:v>1.4920092E12</c:v>
                </c:pt>
                <c:pt idx="8">
                  <c:v>1.4920956E12</c:v>
                </c:pt>
                <c:pt idx="9">
                  <c:v>1.4923548E12</c:v>
                </c:pt>
                <c:pt idx="10">
                  <c:v>1.4924412E12</c:v>
                </c:pt>
                <c:pt idx="11">
                  <c:v>1.4925276E12</c:v>
                </c:pt>
                <c:pt idx="12">
                  <c:v>1.492614E12</c:v>
                </c:pt>
                <c:pt idx="13">
                  <c:v>1.4927004E12</c:v>
                </c:pt>
                <c:pt idx="14">
                  <c:v>1.4929596E12</c:v>
                </c:pt>
                <c:pt idx="15">
                  <c:v>1.493046E12</c:v>
                </c:pt>
                <c:pt idx="16">
                  <c:v>1.4931324E12</c:v>
                </c:pt>
                <c:pt idx="17">
                  <c:v>1.4932188E12</c:v>
                </c:pt>
                <c:pt idx="18">
                  <c:v>1.4933052E12</c:v>
                </c:pt>
                <c:pt idx="19">
                  <c:v>1.4935644E12</c:v>
                </c:pt>
                <c:pt idx="20">
                  <c:v>1.4936508E12</c:v>
                </c:pt>
                <c:pt idx="21">
                  <c:v>1.4941692E12</c:v>
                </c:pt>
                <c:pt idx="22">
                  <c:v>1.4942556E12</c:v>
                </c:pt>
                <c:pt idx="23">
                  <c:v>1.494342E12</c:v>
                </c:pt>
                <c:pt idx="24">
                  <c:v>1.4944284E12</c:v>
                </c:pt>
                <c:pt idx="25">
                  <c:v>1.4945148E12</c:v>
                </c:pt>
                <c:pt idx="26">
                  <c:v>1.494774E12</c:v>
                </c:pt>
                <c:pt idx="27">
                  <c:v>1.4948604E12</c:v>
                </c:pt>
                <c:pt idx="28">
                  <c:v>1.4949468E12</c:v>
                </c:pt>
                <c:pt idx="29">
                  <c:v>1.4950332E12</c:v>
                </c:pt>
                <c:pt idx="30">
                  <c:v>1.4951196E12</c:v>
                </c:pt>
                <c:pt idx="31">
                  <c:v>1.4953788E12</c:v>
                </c:pt>
                <c:pt idx="32">
                  <c:v>1.4954652E12</c:v>
                </c:pt>
                <c:pt idx="33">
                  <c:v>1.4955516E12</c:v>
                </c:pt>
                <c:pt idx="34">
                  <c:v>1.495638E12</c:v>
                </c:pt>
                <c:pt idx="35">
                  <c:v>1.4957244E12</c:v>
                </c:pt>
                <c:pt idx="36">
                  <c:v>1.4959836E12</c:v>
                </c:pt>
                <c:pt idx="37">
                  <c:v>1.49607E12</c:v>
                </c:pt>
                <c:pt idx="38">
                  <c:v>1.4961564E12</c:v>
                </c:pt>
              </c:numCache>
            </c:numRef>
          </c:xVal>
          <c:yVal>
            <c:numRef>
              <c:f>Regression!$D$4:$D$42</c:f>
              <c:numCache>
                <c:formatCode>#,##0.00</c:formatCode>
                <c:ptCount val="39"/>
                <c:pt idx="0">
                  <c:v>18810.25</c:v>
                </c:pt>
                <c:pt idx="1">
                  <c:v>18861.27</c:v>
                </c:pt>
                <c:pt idx="2">
                  <c:v>18597.06</c:v>
                </c:pt>
                <c:pt idx="3">
                  <c:v>18664.63</c:v>
                </c:pt>
                <c:pt idx="4">
                  <c:v>18797.88</c:v>
                </c:pt>
                <c:pt idx="5">
                  <c:v>18747.87</c:v>
                </c:pt>
                <c:pt idx="6">
                  <c:v>18552.61</c:v>
                </c:pt>
                <c:pt idx="7">
                  <c:v>18426.84</c:v>
                </c:pt>
                <c:pt idx="8">
                  <c:v>18335.63</c:v>
                </c:pt>
                <c:pt idx="9">
                  <c:v>18355.26</c:v>
                </c:pt>
                <c:pt idx="10">
                  <c:v>18418.59</c:v>
                </c:pt>
                <c:pt idx="11">
                  <c:v>18432.2</c:v>
                </c:pt>
                <c:pt idx="12">
                  <c:v>18430.49</c:v>
                </c:pt>
                <c:pt idx="13">
                  <c:v>18620.75</c:v>
                </c:pt>
                <c:pt idx="14">
                  <c:v>18875.88</c:v>
                </c:pt>
                <c:pt idx="15">
                  <c:v>19079.33</c:v>
                </c:pt>
                <c:pt idx="16">
                  <c:v>19289.43</c:v>
                </c:pt>
                <c:pt idx="17">
                  <c:v>19251.87</c:v>
                </c:pt>
                <c:pt idx="18">
                  <c:v>19196.74</c:v>
                </c:pt>
                <c:pt idx="19">
                  <c:v>19310.52</c:v>
                </c:pt>
                <c:pt idx="20">
                  <c:v>19445.7</c:v>
                </c:pt>
                <c:pt idx="21">
                  <c:v>19895.7</c:v>
                </c:pt>
                <c:pt idx="22">
                  <c:v>19843.0</c:v>
                </c:pt>
                <c:pt idx="23">
                  <c:v>19900.09</c:v>
                </c:pt>
                <c:pt idx="24">
                  <c:v>19961.55</c:v>
                </c:pt>
                <c:pt idx="25">
                  <c:v>19883.9</c:v>
                </c:pt>
                <c:pt idx="26">
                  <c:v>19869.85</c:v>
                </c:pt>
                <c:pt idx="27">
                  <c:v>19919.82</c:v>
                </c:pt>
                <c:pt idx="28">
                  <c:v>19814.88</c:v>
                </c:pt>
                <c:pt idx="29">
                  <c:v>19553.86</c:v>
                </c:pt>
                <c:pt idx="30">
                  <c:v>19590.76</c:v>
                </c:pt>
                <c:pt idx="31">
                  <c:v>19678.28</c:v>
                </c:pt>
                <c:pt idx="32">
                  <c:v>19613.28</c:v>
                </c:pt>
                <c:pt idx="33">
                  <c:v>19742.98</c:v>
                </c:pt>
                <c:pt idx="34">
                  <c:v>19813.13</c:v>
                </c:pt>
                <c:pt idx="35">
                  <c:v>19686.84</c:v>
                </c:pt>
                <c:pt idx="36">
                  <c:v>19682.57</c:v>
                </c:pt>
                <c:pt idx="37">
                  <c:v>19677.85</c:v>
                </c:pt>
                <c:pt idx="38">
                  <c:v>19650.57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Regression!$J$2</c:f>
              <c:strCache>
                <c:ptCount val="1"/>
                <c:pt idx="0">
                  <c:v>Estimate Px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Regression!$C$4:$C$42</c:f>
              <c:numCache>
                <c:formatCode>0</c:formatCode>
                <c:ptCount val="39"/>
                <c:pt idx="0">
                  <c:v>1.4912316E12</c:v>
                </c:pt>
                <c:pt idx="1">
                  <c:v>1.491318E12</c:v>
                </c:pt>
                <c:pt idx="2">
                  <c:v>1.4914044E12</c:v>
                </c:pt>
                <c:pt idx="3">
                  <c:v>1.4914908E12</c:v>
                </c:pt>
                <c:pt idx="4">
                  <c:v>1.49175E12</c:v>
                </c:pt>
                <c:pt idx="5">
                  <c:v>1.4918364E12</c:v>
                </c:pt>
                <c:pt idx="6">
                  <c:v>1.4919228E12</c:v>
                </c:pt>
                <c:pt idx="7">
                  <c:v>1.4920092E12</c:v>
                </c:pt>
                <c:pt idx="8">
                  <c:v>1.4920956E12</c:v>
                </c:pt>
                <c:pt idx="9">
                  <c:v>1.4923548E12</c:v>
                </c:pt>
                <c:pt idx="10">
                  <c:v>1.4924412E12</c:v>
                </c:pt>
                <c:pt idx="11">
                  <c:v>1.4925276E12</c:v>
                </c:pt>
                <c:pt idx="12">
                  <c:v>1.492614E12</c:v>
                </c:pt>
                <c:pt idx="13">
                  <c:v>1.4927004E12</c:v>
                </c:pt>
                <c:pt idx="14">
                  <c:v>1.4929596E12</c:v>
                </c:pt>
                <c:pt idx="15">
                  <c:v>1.493046E12</c:v>
                </c:pt>
                <c:pt idx="16">
                  <c:v>1.4931324E12</c:v>
                </c:pt>
                <c:pt idx="17">
                  <c:v>1.4932188E12</c:v>
                </c:pt>
                <c:pt idx="18">
                  <c:v>1.4933052E12</c:v>
                </c:pt>
                <c:pt idx="19">
                  <c:v>1.4935644E12</c:v>
                </c:pt>
                <c:pt idx="20">
                  <c:v>1.4936508E12</c:v>
                </c:pt>
                <c:pt idx="21">
                  <c:v>1.4941692E12</c:v>
                </c:pt>
                <c:pt idx="22">
                  <c:v>1.4942556E12</c:v>
                </c:pt>
                <c:pt idx="23">
                  <c:v>1.494342E12</c:v>
                </c:pt>
                <c:pt idx="24">
                  <c:v>1.4944284E12</c:v>
                </c:pt>
                <c:pt idx="25">
                  <c:v>1.4945148E12</c:v>
                </c:pt>
                <c:pt idx="26">
                  <c:v>1.494774E12</c:v>
                </c:pt>
                <c:pt idx="27">
                  <c:v>1.4948604E12</c:v>
                </c:pt>
                <c:pt idx="28">
                  <c:v>1.4949468E12</c:v>
                </c:pt>
                <c:pt idx="29">
                  <c:v>1.4950332E12</c:v>
                </c:pt>
                <c:pt idx="30">
                  <c:v>1.4951196E12</c:v>
                </c:pt>
                <c:pt idx="31">
                  <c:v>1.4953788E12</c:v>
                </c:pt>
                <c:pt idx="32">
                  <c:v>1.4954652E12</c:v>
                </c:pt>
                <c:pt idx="33">
                  <c:v>1.4955516E12</c:v>
                </c:pt>
                <c:pt idx="34">
                  <c:v>1.495638E12</c:v>
                </c:pt>
                <c:pt idx="35">
                  <c:v>1.4957244E12</c:v>
                </c:pt>
                <c:pt idx="36">
                  <c:v>1.4959836E12</c:v>
                </c:pt>
                <c:pt idx="37">
                  <c:v>1.49607E12</c:v>
                </c:pt>
                <c:pt idx="38">
                  <c:v>1.4961564E12</c:v>
                </c:pt>
              </c:numCache>
            </c:numRef>
          </c:xVal>
          <c:yVal>
            <c:numRef>
              <c:f>Regression!$J$4:$J$42</c:f>
              <c:numCache>
                <c:formatCode>#,##0.00</c:formatCode>
                <c:ptCount val="39"/>
                <c:pt idx="0">
                  <c:v>18986.91444202606</c:v>
                </c:pt>
                <c:pt idx="1">
                  <c:v>18814.3627788523</c:v>
                </c:pt>
                <c:pt idx="2">
                  <c:v>18865.85710878175</c:v>
                </c:pt>
                <c:pt idx="3">
                  <c:v>18602.03954989771</c:v>
                </c:pt>
                <c:pt idx="4">
                  <c:v>18671.00278099859</c:v>
                </c:pt>
                <c:pt idx="5">
                  <c:v>18804.75995201367</c:v>
                </c:pt>
                <c:pt idx="6">
                  <c:v>18755.19210624465</c:v>
                </c:pt>
                <c:pt idx="7">
                  <c:v>18560.31151933994</c:v>
                </c:pt>
                <c:pt idx="8">
                  <c:v>18434.94190522356</c:v>
                </c:pt>
                <c:pt idx="9">
                  <c:v>18345.042933325</c:v>
                </c:pt>
                <c:pt idx="10">
                  <c:v>18365.1338921483</c:v>
                </c:pt>
                <c:pt idx="11">
                  <c:v>18428.95040757492</c:v>
                </c:pt>
                <c:pt idx="12">
                  <c:v>18443.02085676341</c:v>
                </c:pt>
                <c:pt idx="13">
                  <c:v>18441.76261559514</c:v>
                </c:pt>
                <c:pt idx="14">
                  <c:v>18633.51136133286</c:v>
                </c:pt>
                <c:pt idx="15">
                  <c:v>18889.27995929607</c:v>
                </c:pt>
                <c:pt idx="16">
                  <c:v>19093.34314777722</c:v>
                </c:pt>
                <c:pt idx="17">
                  <c:v>19304.07139260335</c:v>
                </c:pt>
                <c:pt idx="18">
                  <c:v>19266.95590515505</c:v>
                </c:pt>
                <c:pt idx="19">
                  <c:v>19213.19777665925</c:v>
                </c:pt>
                <c:pt idx="20">
                  <c:v>19327.54983231458</c:v>
                </c:pt>
                <c:pt idx="21">
                  <c:v>19465.7162811986</c:v>
                </c:pt>
                <c:pt idx="22">
                  <c:v>19916.66845826702</c:v>
                </c:pt>
                <c:pt idx="23">
                  <c:v>19864.40060654707</c:v>
                </c:pt>
                <c:pt idx="24">
                  <c:v>19922.04128286348</c:v>
                </c:pt>
                <c:pt idx="25">
                  <c:v>19984.05970538616</c:v>
                </c:pt>
                <c:pt idx="26">
                  <c:v>19907.78837220073</c:v>
                </c:pt>
                <c:pt idx="27">
                  <c:v>19894.20991429675</c:v>
                </c:pt>
                <c:pt idx="28">
                  <c:v>19944.73083820432</c:v>
                </c:pt>
                <c:pt idx="29">
                  <c:v>19840.14669928237</c:v>
                </c:pt>
                <c:pt idx="30">
                  <c:v>19579.27455255856</c:v>
                </c:pt>
                <c:pt idx="31">
                  <c:v>19617.66737361907</c:v>
                </c:pt>
                <c:pt idx="32">
                  <c:v>19705.79137575804</c:v>
                </c:pt>
                <c:pt idx="33">
                  <c:v>19641.18271159774</c:v>
                </c:pt>
                <c:pt idx="34">
                  <c:v>19771.55263881259</c:v>
                </c:pt>
                <c:pt idx="35">
                  <c:v>19842.29130903048</c:v>
                </c:pt>
                <c:pt idx="36">
                  <c:v>19717.26763024955</c:v>
                </c:pt>
                <c:pt idx="37">
                  <c:v>19713.47501506411</c:v>
                </c:pt>
                <c:pt idx="38">
                  <c:v>19709.23148412155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05776"/>
        <c:axId val="765008096"/>
      </c:scatterChart>
      <c:scatterChart>
        <c:scatterStyle val="lineMarker"/>
        <c:varyColors val="0"/>
        <c:ser>
          <c:idx val="0"/>
          <c:order val="1"/>
          <c:tx>
            <c:strRef>
              <c:f>Regression!$E$2</c:f>
              <c:strCache>
                <c:ptCount val="1"/>
                <c:pt idx="0">
                  <c:v>Returns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Regression!$C$4:$C$42</c:f>
              <c:numCache>
                <c:formatCode>0</c:formatCode>
                <c:ptCount val="39"/>
                <c:pt idx="0">
                  <c:v>1.4912316E12</c:v>
                </c:pt>
                <c:pt idx="1">
                  <c:v>1.491318E12</c:v>
                </c:pt>
                <c:pt idx="2">
                  <c:v>1.4914044E12</c:v>
                </c:pt>
                <c:pt idx="3">
                  <c:v>1.4914908E12</c:v>
                </c:pt>
                <c:pt idx="4">
                  <c:v>1.49175E12</c:v>
                </c:pt>
                <c:pt idx="5">
                  <c:v>1.4918364E12</c:v>
                </c:pt>
                <c:pt idx="6">
                  <c:v>1.4919228E12</c:v>
                </c:pt>
                <c:pt idx="7">
                  <c:v>1.4920092E12</c:v>
                </c:pt>
                <c:pt idx="8">
                  <c:v>1.4920956E12</c:v>
                </c:pt>
                <c:pt idx="9">
                  <c:v>1.4923548E12</c:v>
                </c:pt>
                <c:pt idx="10">
                  <c:v>1.4924412E12</c:v>
                </c:pt>
                <c:pt idx="11">
                  <c:v>1.4925276E12</c:v>
                </c:pt>
                <c:pt idx="12">
                  <c:v>1.492614E12</c:v>
                </c:pt>
                <c:pt idx="13">
                  <c:v>1.4927004E12</c:v>
                </c:pt>
                <c:pt idx="14">
                  <c:v>1.4929596E12</c:v>
                </c:pt>
                <c:pt idx="15">
                  <c:v>1.493046E12</c:v>
                </c:pt>
                <c:pt idx="16">
                  <c:v>1.4931324E12</c:v>
                </c:pt>
                <c:pt idx="17">
                  <c:v>1.4932188E12</c:v>
                </c:pt>
                <c:pt idx="18">
                  <c:v>1.4933052E12</c:v>
                </c:pt>
                <c:pt idx="19">
                  <c:v>1.4935644E12</c:v>
                </c:pt>
                <c:pt idx="20">
                  <c:v>1.4936508E12</c:v>
                </c:pt>
                <c:pt idx="21">
                  <c:v>1.4941692E12</c:v>
                </c:pt>
                <c:pt idx="22">
                  <c:v>1.4942556E12</c:v>
                </c:pt>
                <c:pt idx="23">
                  <c:v>1.494342E12</c:v>
                </c:pt>
                <c:pt idx="24">
                  <c:v>1.4944284E12</c:v>
                </c:pt>
                <c:pt idx="25">
                  <c:v>1.4945148E12</c:v>
                </c:pt>
                <c:pt idx="26">
                  <c:v>1.494774E12</c:v>
                </c:pt>
                <c:pt idx="27">
                  <c:v>1.4948604E12</c:v>
                </c:pt>
                <c:pt idx="28">
                  <c:v>1.4949468E12</c:v>
                </c:pt>
                <c:pt idx="29">
                  <c:v>1.4950332E12</c:v>
                </c:pt>
                <c:pt idx="30">
                  <c:v>1.4951196E12</c:v>
                </c:pt>
                <c:pt idx="31">
                  <c:v>1.4953788E12</c:v>
                </c:pt>
                <c:pt idx="32">
                  <c:v>1.4954652E12</c:v>
                </c:pt>
                <c:pt idx="33">
                  <c:v>1.4955516E12</c:v>
                </c:pt>
                <c:pt idx="34">
                  <c:v>1.495638E12</c:v>
                </c:pt>
                <c:pt idx="35">
                  <c:v>1.4957244E12</c:v>
                </c:pt>
                <c:pt idx="36">
                  <c:v>1.4959836E12</c:v>
                </c:pt>
                <c:pt idx="37">
                  <c:v>1.49607E12</c:v>
                </c:pt>
                <c:pt idx="38">
                  <c:v>1.4961564E12</c:v>
                </c:pt>
              </c:numCache>
            </c:numRef>
          </c:xVal>
          <c:yVal>
            <c:numRef>
              <c:f>Regression!$E$4:$E$42</c:f>
              <c:numCache>
                <c:formatCode>0.00%</c:formatCode>
                <c:ptCount val="39"/>
                <c:pt idx="0">
                  <c:v>-0.00915402381150622</c:v>
                </c:pt>
                <c:pt idx="1">
                  <c:v>0.00270867919288808</c:v>
                </c:pt>
                <c:pt idx="2">
                  <c:v>-0.0141071095107552</c:v>
                </c:pt>
                <c:pt idx="3">
                  <c:v>0.00362678526205079</c:v>
                </c:pt>
                <c:pt idx="4">
                  <c:v>0.00711380854833306</c:v>
                </c:pt>
                <c:pt idx="5">
                  <c:v>-0.00266395155644713</c:v>
                </c:pt>
                <c:pt idx="6">
                  <c:v>-0.0104696659988119</c:v>
                </c:pt>
                <c:pt idx="7">
                  <c:v>-0.00680218256055789</c:v>
                </c:pt>
                <c:pt idx="8">
                  <c:v>-0.00496213595842013</c:v>
                </c:pt>
                <c:pt idx="9">
                  <c:v>0.00107002048044815</c:v>
                </c:pt>
                <c:pt idx="10">
                  <c:v>0.00344429873989222</c:v>
                </c:pt>
                <c:pt idx="11">
                  <c:v>0.000738654483055209</c:v>
                </c:pt>
                <c:pt idx="12">
                  <c:v>-9.27767344828414E-5</c:v>
                </c:pt>
                <c:pt idx="13">
                  <c:v>0.0102701918927615</c:v>
                </c:pt>
                <c:pt idx="14">
                  <c:v>0.0136083662575134</c:v>
                </c:pt>
                <c:pt idx="15">
                  <c:v>0.0107206335347517</c:v>
                </c:pt>
                <c:pt idx="16">
                  <c:v>0.0109517273923435</c:v>
                </c:pt>
                <c:pt idx="17">
                  <c:v>-0.00194907861907001</c:v>
                </c:pt>
                <c:pt idx="18">
                  <c:v>-0.00286772592204191</c:v>
                </c:pt>
                <c:pt idx="19">
                  <c:v>0.00590955217931473</c:v>
                </c:pt>
                <c:pt idx="20">
                  <c:v>0.00697594080107402</c:v>
                </c:pt>
                <c:pt idx="21">
                  <c:v>0.0228776620484819</c:v>
                </c:pt>
                <c:pt idx="22">
                  <c:v>-0.00265232787658803</c:v>
                </c:pt>
                <c:pt idx="23">
                  <c:v>0.00287295423016987</c:v>
                </c:pt>
                <c:pt idx="24">
                  <c:v>0.00308366884563646</c:v>
                </c:pt>
                <c:pt idx="25">
                  <c:v>-0.00389756412832292</c:v>
                </c:pt>
                <c:pt idx="26">
                  <c:v>-0.000706851584315798</c:v>
                </c:pt>
                <c:pt idx="27">
                  <c:v>0.00251170850476488</c:v>
                </c:pt>
                <c:pt idx="28">
                  <c:v>-0.00528204536515503</c:v>
                </c:pt>
                <c:pt idx="29">
                  <c:v>-0.013260461208471</c:v>
                </c:pt>
                <c:pt idx="30">
                  <c:v>0.00188531711023596</c:v>
                </c:pt>
                <c:pt idx="31">
                  <c:v>0.00445746292300581</c:v>
                </c:pt>
                <c:pt idx="32">
                  <c:v>-0.00330860160784643</c:v>
                </c:pt>
                <c:pt idx="33">
                  <c:v>0.00659109730148997</c:v>
                </c:pt>
                <c:pt idx="34">
                  <c:v>0.00354686411489923</c:v>
                </c:pt>
                <c:pt idx="35">
                  <c:v>-0.00639445702481326</c:v>
                </c:pt>
                <c:pt idx="36">
                  <c:v>-0.000216919685448373</c:v>
                </c:pt>
                <c:pt idx="37">
                  <c:v>-0.000239834840310488</c:v>
                </c:pt>
                <c:pt idx="38">
                  <c:v>-0.00138729216048901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12736"/>
        <c:axId val="765010416"/>
      </c:scatterChart>
      <c:valAx>
        <c:axId val="7650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008096"/>
        <c:crosses val="autoZero"/>
        <c:crossBetween val="midCat"/>
      </c:valAx>
      <c:valAx>
        <c:axId val="7650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005776"/>
        <c:crosses val="autoZero"/>
        <c:crossBetween val="midCat"/>
      </c:valAx>
      <c:valAx>
        <c:axId val="76501041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012736"/>
        <c:crosses val="max"/>
        <c:crossBetween val="midCat"/>
      </c:valAx>
      <c:valAx>
        <c:axId val="76501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7650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46</xdr:row>
      <xdr:rowOff>133350</xdr:rowOff>
    </xdr:from>
    <xdr:to>
      <xdr:col>14</xdr:col>
      <xdr:colOff>1574800</xdr:colOff>
      <xdr:row>78</xdr:row>
      <xdr:rowOff>228600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/>
  </sheetViews>
  <sheetFormatPr baseColWidth="12" defaultColWidth="12.85546875" defaultRowHeight="15" x14ac:dyDescent="0.15"/>
  <cols>
    <col min="1" max="1" width="2.7109375" style="27" customWidth="1"/>
    <col min="2" max="2" width="1.7109375" style="28" customWidth="1"/>
    <col min="3" max="7" width="15.7109375" style="28" customWidth="1"/>
    <col min="8" max="8" width="1.7109375" style="28" customWidth="1"/>
    <col min="9" max="16384" width="12.85546875" style="27"/>
  </cols>
  <sheetData>
    <row r="2" spans="2:8" ht="16" thickBot="1" x14ac:dyDescent="0.2">
      <c r="B2" s="53"/>
      <c r="C2" s="54" t="s">
        <v>22</v>
      </c>
      <c r="D2" s="54" t="s">
        <v>23</v>
      </c>
      <c r="E2" s="54" t="s">
        <v>24</v>
      </c>
      <c r="F2" s="54" t="s">
        <v>25</v>
      </c>
      <c r="G2" s="54" t="s">
        <v>26</v>
      </c>
      <c r="H2" s="55"/>
    </row>
    <row r="3" spans="2:8" ht="4" customHeight="1" thickTop="1" x14ac:dyDescent="0.15">
      <c r="B3" s="32"/>
      <c r="C3" s="31"/>
      <c r="D3" s="31"/>
      <c r="E3" s="31"/>
      <c r="F3" s="31"/>
      <c r="G3" s="31"/>
      <c r="H3" s="33"/>
    </row>
    <row r="4" spans="2:8" x14ac:dyDescent="0.15">
      <c r="B4" s="34"/>
      <c r="C4" s="29">
        <v>450000</v>
      </c>
      <c r="D4" s="29">
        <v>500000</v>
      </c>
      <c r="E4" s="29">
        <f>AVERAGE(C4:D4)</f>
        <v>475000</v>
      </c>
      <c r="F4" s="29">
        <f>ABS((C4-D4)/E4)</f>
        <v>0.10526315789473684</v>
      </c>
      <c r="G4" s="29">
        <f t="shared" ref="G4:G27" si="0">MAX(1-F4,0.5)</f>
        <v>0.89473684210526316</v>
      </c>
      <c r="H4" s="35"/>
    </row>
    <row r="5" spans="2:8" x14ac:dyDescent="0.15">
      <c r="B5" s="34"/>
      <c r="C5" s="29">
        <v>450000</v>
      </c>
      <c r="D5" s="29">
        <f>D4-50000</f>
        <v>450000</v>
      </c>
      <c r="E5" s="29">
        <f t="shared" ref="E5:E24" si="1">AVERAGE(C5:D5)</f>
        <v>450000</v>
      </c>
      <c r="F5" s="29">
        <f t="shared" ref="F5:F27" si="2">ABS((C5-D5)/E5)</f>
        <v>0</v>
      </c>
      <c r="G5" s="29">
        <f t="shared" si="0"/>
        <v>1</v>
      </c>
      <c r="H5" s="35"/>
    </row>
    <row r="6" spans="2:8" x14ac:dyDescent="0.15">
      <c r="B6" s="34"/>
      <c r="C6" s="29">
        <v>450000</v>
      </c>
      <c r="D6" s="29">
        <f>D5-50000</f>
        <v>400000</v>
      </c>
      <c r="E6" s="29">
        <f t="shared" si="1"/>
        <v>425000</v>
      </c>
      <c r="F6" s="29">
        <f t="shared" si="2"/>
        <v>0.11764705882352941</v>
      </c>
      <c r="G6" s="29">
        <f t="shared" si="0"/>
        <v>0.88235294117647056</v>
      </c>
      <c r="H6" s="35"/>
    </row>
    <row r="7" spans="2:8" x14ac:dyDescent="0.15">
      <c r="B7" s="34"/>
      <c r="C7" s="29">
        <v>450000</v>
      </c>
      <c r="D7" s="29">
        <f t="shared" ref="D7:D24" si="3">D6-50000</f>
        <v>350000</v>
      </c>
      <c r="E7" s="29">
        <f t="shared" si="1"/>
        <v>400000</v>
      </c>
      <c r="F7" s="29">
        <f t="shared" si="2"/>
        <v>0.25</v>
      </c>
      <c r="G7" s="29">
        <f t="shared" si="0"/>
        <v>0.75</v>
      </c>
      <c r="H7" s="35"/>
    </row>
    <row r="8" spans="2:8" x14ac:dyDescent="0.15">
      <c r="B8" s="34"/>
      <c r="C8" s="29">
        <v>450000</v>
      </c>
      <c r="D8" s="29">
        <f t="shared" si="3"/>
        <v>300000</v>
      </c>
      <c r="E8" s="29">
        <f t="shared" si="1"/>
        <v>375000</v>
      </c>
      <c r="F8" s="29">
        <f t="shared" si="2"/>
        <v>0.4</v>
      </c>
      <c r="G8" s="29">
        <f t="shared" si="0"/>
        <v>0.6</v>
      </c>
      <c r="H8" s="35"/>
    </row>
    <row r="9" spans="2:8" x14ac:dyDescent="0.15">
      <c r="B9" s="34"/>
      <c r="C9" s="29">
        <v>450000</v>
      </c>
      <c r="D9" s="29">
        <f t="shared" si="3"/>
        <v>250000</v>
      </c>
      <c r="E9" s="29">
        <f t="shared" si="1"/>
        <v>350000</v>
      </c>
      <c r="F9" s="29">
        <f t="shared" si="2"/>
        <v>0.5714285714285714</v>
      </c>
      <c r="G9" s="29">
        <f t="shared" si="0"/>
        <v>0.5</v>
      </c>
      <c r="H9" s="35"/>
    </row>
    <row r="10" spans="2:8" x14ac:dyDescent="0.15">
      <c r="B10" s="34"/>
      <c r="C10" s="29">
        <v>450000</v>
      </c>
      <c r="D10" s="29">
        <f t="shared" si="3"/>
        <v>200000</v>
      </c>
      <c r="E10" s="29">
        <f t="shared" si="1"/>
        <v>325000</v>
      </c>
      <c r="F10" s="29">
        <f t="shared" si="2"/>
        <v>0.76923076923076927</v>
      </c>
      <c r="G10" s="29">
        <f t="shared" si="0"/>
        <v>0.5</v>
      </c>
      <c r="H10" s="35"/>
    </row>
    <row r="11" spans="2:8" x14ac:dyDescent="0.15">
      <c r="B11" s="34"/>
      <c r="C11" s="29">
        <v>450000</v>
      </c>
      <c r="D11" s="29">
        <f t="shared" si="3"/>
        <v>150000</v>
      </c>
      <c r="E11" s="29">
        <f t="shared" si="1"/>
        <v>300000</v>
      </c>
      <c r="F11" s="29">
        <f t="shared" si="2"/>
        <v>1</v>
      </c>
      <c r="G11" s="29">
        <f t="shared" si="0"/>
        <v>0.5</v>
      </c>
      <c r="H11" s="35"/>
    </row>
    <row r="12" spans="2:8" x14ac:dyDescent="0.15">
      <c r="B12" s="34"/>
      <c r="C12" s="29">
        <v>450000</v>
      </c>
      <c r="D12" s="29">
        <f t="shared" si="3"/>
        <v>100000</v>
      </c>
      <c r="E12" s="29">
        <f t="shared" si="1"/>
        <v>275000</v>
      </c>
      <c r="F12" s="29">
        <f t="shared" si="2"/>
        <v>1.2727272727272727</v>
      </c>
      <c r="G12" s="29">
        <f t="shared" si="0"/>
        <v>0.5</v>
      </c>
      <c r="H12" s="35"/>
    </row>
    <row r="13" spans="2:8" x14ac:dyDescent="0.15">
      <c r="B13" s="34"/>
      <c r="C13" s="29">
        <v>450000</v>
      </c>
      <c r="D13" s="29">
        <f t="shared" si="3"/>
        <v>50000</v>
      </c>
      <c r="E13" s="29">
        <f t="shared" si="1"/>
        <v>250000</v>
      </c>
      <c r="F13" s="29">
        <f t="shared" si="2"/>
        <v>1.6</v>
      </c>
      <c r="G13" s="29">
        <f t="shared" si="0"/>
        <v>0.5</v>
      </c>
      <c r="H13" s="35"/>
    </row>
    <row r="14" spans="2:8" x14ac:dyDescent="0.15">
      <c r="B14" s="34"/>
      <c r="C14" s="29">
        <v>450000</v>
      </c>
      <c r="D14" s="29">
        <f t="shared" si="3"/>
        <v>0</v>
      </c>
      <c r="E14" s="29">
        <f t="shared" si="1"/>
        <v>225000</v>
      </c>
      <c r="F14" s="29">
        <f t="shared" si="2"/>
        <v>2</v>
      </c>
      <c r="G14" s="29">
        <f t="shared" si="0"/>
        <v>0.5</v>
      </c>
      <c r="H14" s="35"/>
    </row>
    <row r="15" spans="2:8" x14ac:dyDescent="0.15">
      <c r="B15" s="34"/>
      <c r="C15" s="29">
        <v>450000</v>
      </c>
      <c r="D15" s="29">
        <f t="shared" si="3"/>
        <v>-50000</v>
      </c>
      <c r="E15" s="29">
        <f t="shared" si="1"/>
        <v>200000</v>
      </c>
      <c r="F15" s="29">
        <f t="shared" si="2"/>
        <v>2.5</v>
      </c>
      <c r="G15" s="29">
        <f t="shared" si="0"/>
        <v>0.5</v>
      </c>
      <c r="H15" s="35"/>
    </row>
    <row r="16" spans="2:8" x14ac:dyDescent="0.15">
      <c r="B16" s="34"/>
      <c r="C16" s="29">
        <v>450000</v>
      </c>
      <c r="D16" s="29">
        <f t="shared" si="3"/>
        <v>-100000</v>
      </c>
      <c r="E16" s="29">
        <f t="shared" si="1"/>
        <v>175000</v>
      </c>
      <c r="F16" s="29">
        <f t="shared" si="2"/>
        <v>3.1428571428571428</v>
      </c>
      <c r="G16" s="29">
        <f t="shared" si="0"/>
        <v>0.5</v>
      </c>
      <c r="H16" s="35"/>
    </row>
    <row r="17" spans="2:8" x14ac:dyDescent="0.15">
      <c r="B17" s="34"/>
      <c r="C17" s="29">
        <v>450000</v>
      </c>
      <c r="D17" s="29">
        <f t="shared" si="3"/>
        <v>-150000</v>
      </c>
      <c r="E17" s="29">
        <f t="shared" si="1"/>
        <v>150000</v>
      </c>
      <c r="F17" s="29">
        <f t="shared" si="2"/>
        <v>4</v>
      </c>
      <c r="G17" s="29">
        <f t="shared" si="0"/>
        <v>0.5</v>
      </c>
      <c r="H17" s="35"/>
    </row>
    <row r="18" spans="2:8" x14ac:dyDescent="0.15">
      <c r="B18" s="34"/>
      <c r="C18" s="29">
        <v>450000</v>
      </c>
      <c r="D18" s="29">
        <f t="shared" si="3"/>
        <v>-200000</v>
      </c>
      <c r="E18" s="29">
        <f t="shared" si="1"/>
        <v>125000</v>
      </c>
      <c r="F18" s="29">
        <f t="shared" si="2"/>
        <v>5.2</v>
      </c>
      <c r="G18" s="29">
        <f t="shared" si="0"/>
        <v>0.5</v>
      </c>
      <c r="H18" s="35"/>
    </row>
    <row r="19" spans="2:8" x14ac:dyDescent="0.15">
      <c r="B19" s="34"/>
      <c r="C19" s="29">
        <v>450000</v>
      </c>
      <c r="D19" s="29">
        <f t="shared" si="3"/>
        <v>-250000</v>
      </c>
      <c r="E19" s="29">
        <f t="shared" si="1"/>
        <v>100000</v>
      </c>
      <c r="F19" s="29">
        <f t="shared" si="2"/>
        <v>7</v>
      </c>
      <c r="G19" s="29">
        <f t="shared" si="0"/>
        <v>0.5</v>
      </c>
      <c r="H19" s="35"/>
    </row>
    <row r="20" spans="2:8" x14ac:dyDescent="0.15">
      <c r="B20" s="34"/>
      <c r="C20" s="29">
        <v>450000</v>
      </c>
      <c r="D20" s="29">
        <f t="shared" si="3"/>
        <v>-300000</v>
      </c>
      <c r="E20" s="29">
        <f t="shared" si="1"/>
        <v>75000</v>
      </c>
      <c r="F20" s="29">
        <f t="shared" si="2"/>
        <v>10</v>
      </c>
      <c r="G20" s="29">
        <f t="shared" si="0"/>
        <v>0.5</v>
      </c>
      <c r="H20" s="35"/>
    </row>
    <row r="21" spans="2:8" x14ac:dyDescent="0.15">
      <c r="B21" s="34"/>
      <c r="C21" s="29">
        <v>450000</v>
      </c>
      <c r="D21" s="29">
        <f t="shared" si="3"/>
        <v>-350000</v>
      </c>
      <c r="E21" s="29">
        <f t="shared" si="1"/>
        <v>50000</v>
      </c>
      <c r="F21" s="29">
        <f t="shared" si="2"/>
        <v>16</v>
      </c>
      <c r="G21" s="29">
        <f t="shared" si="0"/>
        <v>0.5</v>
      </c>
      <c r="H21" s="35"/>
    </row>
    <row r="22" spans="2:8" x14ac:dyDescent="0.15">
      <c r="B22" s="34"/>
      <c r="C22" s="29">
        <v>450000</v>
      </c>
      <c r="D22" s="29">
        <f t="shared" si="3"/>
        <v>-400000</v>
      </c>
      <c r="E22" s="29">
        <f t="shared" si="1"/>
        <v>25000</v>
      </c>
      <c r="F22" s="29">
        <f t="shared" si="2"/>
        <v>34</v>
      </c>
      <c r="G22" s="29">
        <f t="shared" si="0"/>
        <v>0.5</v>
      </c>
      <c r="H22" s="35"/>
    </row>
    <row r="23" spans="2:8" x14ac:dyDescent="0.15">
      <c r="B23" s="34"/>
      <c r="C23" s="29">
        <v>450000</v>
      </c>
      <c r="D23" s="29">
        <f t="shared" si="3"/>
        <v>-450000</v>
      </c>
      <c r="E23" s="29">
        <f t="shared" si="1"/>
        <v>0</v>
      </c>
      <c r="F23" s="29" t="e">
        <f t="shared" si="2"/>
        <v>#DIV/0!</v>
      </c>
      <c r="G23" s="29" t="e">
        <f t="shared" si="0"/>
        <v>#DIV/0!</v>
      </c>
      <c r="H23" s="35"/>
    </row>
    <row r="24" spans="2:8" x14ac:dyDescent="0.15">
      <c r="B24" s="34"/>
      <c r="C24" s="29">
        <v>450000</v>
      </c>
      <c r="D24" s="29">
        <f t="shared" si="3"/>
        <v>-500000</v>
      </c>
      <c r="E24" s="29">
        <f t="shared" si="1"/>
        <v>-25000</v>
      </c>
      <c r="F24" s="29">
        <f t="shared" si="2"/>
        <v>38</v>
      </c>
      <c r="G24" s="29">
        <f t="shared" si="0"/>
        <v>0.5</v>
      </c>
      <c r="H24" s="35"/>
    </row>
    <row r="25" spans="2:8" x14ac:dyDescent="0.15">
      <c r="B25" s="34"/>
      <c r="C25" s="29">
        <v>450000</v>
      </c>
      <c r="D25" s="29">
        <f t="shared" ref="D25:D27" si="4">D24-50000</f>
        <v>-550000</v>
      </c>
      <c r="E25" s="29">
        <f t="shared" ref="E25:E27" si="5">AVERAGE(C25:D25)</f>
        <v>-50000</v>
      </c>
      <c r="F25" s="29">
        <f t="shared" si="2"/>
        <v>20</v>
      </c>
      <c r="G25" s="29">
        <f t="shared" si="0"/>
        <v>0.5</v>
      </c>
      <c r="H25" s="35"/>
    </row>
    <row r="26" spans="2:8" x14ac:dyDescent="0.15">
      <c r="B26" s="34"/>
      <c r="C26" s="29">
        <v>450000</v>
      </c>
      <c r="D26" s="29">
        <f t="shared" si="4"/>
        <v>-600000</v>
      </c>
      <c r="E26" s="29">
        <f t="shared" si="5"/>
        <v>-75000</v>
      </c>
      <c r="F26" s="29">
        <f t="shared" si="2"/>
        <v>14</v>
      </c>
      <c r="G26" s="29">
        <f t="shared" si="0"/>
        <v>0.5</v>
      </c>
      <c r="H26" s="35"/>
    </row>
    <row r="27" spans="2:8" x14ac:dyDescent="0.15">
      <c r="B27" s="34"/>
      <c r="C27" s="29">
        <v>450000</v>
      </c>
      <c r="D27" s="29">
        <f t="shared" si="4"/>
        <v>-650000</v>
      </c>
      <c r="E27" s="29">
        <f t="shared" si="5"/>
        <v>-100000</v>
      </c>
      <c r="F27" s="29">
        <f t="shared" si="2"/>
        <v>11</v>
      </c>
      <c r="G27" s="29">
        <f t="shared" si="0"/>
        <v>0.5</v>
      </c>
      <c r="H27" s="35"/>
    </row>
    <row r="28" spans="2:8" ht="4" customHeight="1" x14ac:dyDescent="0.15">
      <c r="B28" s="36"/>
      <c r="C28" s="30"/>
      <c r="D28" s="30"/>
      <c r="E28" s="30"/>
      <c r="F28" s="30"/>
      <c r="G28" s="30"/>
      <c r="H28" s="3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/>
  </sheetViews>
  <sheetFormatPr baseColWidth="12" defaultColWidth="10.7109375" defaultRowHeight="15" x14ac:dyDescent="0.15"/>
  <cols>
    <col min="1" max="1" width="2.7109375" style="2" customWidth="1"/>
    <col min="2" max="2" width="12.28515625" style="14" customWidth="1"/>
    <col min="3" max="3" width="5.140625" style="13" bestFit="1" customWidth="1"/>
    <col min="4" max="4" width="18.85546875" style="14" customWidth="1"/>
    <col min="5" max="7" width="18.85546875" style="3" customWidth="1"/>
    <col min="8" max="15" width="24.28515625" style="2" customWidth="1"/>
    <col min="16" max="16" width="26.28515625" style="2" customWidth="1"/>
    <col min="17" max="17" width="24.140625" style="2" customWidth="1"/>
    <col min="18" max="16384" width="10.7109375" style="2"/>
  </cols>
  <sheetData>
    <row r="2" spans="2:22" s="1" customFormat="1" ht="16" thickBot="1" x14ac:dyDescent="0.2">
      <c r="B2" s="56" t="s">
        <v>9</v>
      </c>
      <c r="C2" s="57" t="s">
        <v>10</v>
      </c>
      <c r="D2" s="57" t="s">
        <v>11</v>
      </c>
      <c r="E2" s="58" t="s">
        <v>12</v>
      </c>
      <c r="F2" s="58" t="s">
        <v>13</v>
      </c>
      <c r="G2" s="59" t="s">
        <v>8</v>
      </c>
      <c r="P2" s="1" t="s">
        <v>8</v>
      </c>
    </row>
    <row r="3" spans="2:22" ht="16" thickTop="1" x14ac:dyDescent="0.15">
      <c r="B3" s="22">
        <v>0</v>
      </c>
      <c r="C3" s="23" t="s">
        <v>14</v>
      </c>
      <c r="D3" s="24">
        <f t="shared" ref="D3:D28" si="0">IF(C3="ms",1,IF(C3="ss",1000,IF(C3="mm",1000*60,IF(C3="HH",1000*60*60,IF(C3="dd",1000*60*60*24,0)))))*B3</f>
        <v>0</v>
      </c>
      <c r="E3" s="25">
        <f t="shared" ref="E3:E28" si="1">IFERROR(LN(D3),0)</f>
        <v>0</v>
      </c>
      <c r="F3" s="25">
        <f t="shared" ref="F3:F28" si="2">E3*EXP(1)</f>
        <v>0</v>
      </c>
      <c r="G3" s="26">
        <f t="shared" ref="G3:G28" si="3">MAX(100-F3,0)</f>
        <v>100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2:22" x14ac:dyDescent="0.15">
      <c r="B4" s="16">
        <v>1</v>
      </c>
      <c r="C4" s="17" t="s">
        <v>14</v>
      </c>
      <c r="D4" s="18">
        <f t="shared" si="0"/>
        <v>1</v>
      </c>
      <c r="E4" s="6">
        <f t="shared" si="1"/>
        <v>0</v>
      </c>
      <c r="F4" s="6">
        <f t="shared" si="2"/>
        <v>0</v>
      </c>
      <c r="G4" s="7">
        <f t="shared" si="3"/>
        <v>100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x14ac:dyDescent="0.15">
      <c r="B5" s="16">
        <v>100</v>
      </c>
      <c r="C5" s="17" t="s">
        <v>14</v>
      </c>
      <c r="D5" s="18">
        <f t="shared" si="0"/>
        <v>100</v>
      </c>
      <c r="E5" s="6">
        <f t="shared" si="1"/>
        <v>4.6051701859880918</v>
      </c>
      <c r="F5" s="6">
        <f t="shared" si="2"/>
        <v>12.51815043353279</v>
      </c>
      <c r="G5" s="7">
        <f t="shared" si="3"/>
        <v>87.481849566467204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2:22" x14ac:dyDescent="0.15">
      <c r="B6" s="16">
        <v>1</v>
      </c>
      <c r="C6" s="17" t="s">
        <v>15</v>
      </c>
      <c r="D6" s="18">
        <f t="shared" si="0"/>
        <v>1000</v>
      </c>
      <c r="E6" s="6">
        <f t="shared" si="1"/>
        <v>6.9077552789821368</v>
      </c>
      <c r="F6" s="6">
        <f t="shared" si="2"/>
        <v>18.777225650299183</v>
      </c>
      <c r="G6" s="7">
        <f t="shared" si="3"/>
        <v>81.222774349700813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x14ac:dyDescent="0.15">
      <c r="B7" s="16">
        <v>10</v>
      </c>
      <c r="C7" s="17" t="s">
        <v>15</v>
      </c>
      <c r="D7" s="18">
        <f t="shared" si="0"/>
        <v>10000</v>
      </c>
      <c r="E7" s="6">
        <f t="shared" si="1"/>
        <v>9.2103403719761836</v>
      </c>
      <c r="F7" s="6">
        <f t="shared" si="2"/>
        <v>25.036300867065581</v>
      </c>
      <c r="G7" s="7">
        <f t="shared" si="3"/>
        <v>74.963699132934423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2:22" x14ac:dyDescent="0.15">
      <c r="B8" s="16">
        <v>20</v>
      </c>
      <c r="C8" s="17" t="s">
        <v>15</v>
      </c>
      <c r="D8" s="18">
        <f t="shared" si="0"/>
        <v>20000</v>
      </c>
      <c r="E8" s="6">
        <f t="shared" si="1"/>
        <v>9.9034875525361272</v>
      </c>
      <c r="F8" s="6">
        <f t="shared" si="2"/>
        <v>26.920470252429297</v>
      </c>
      <c r="G8" s="7">
        <f t="shared" si="3"/>
        <v>73.079529747570703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x14ac:dyDescent="0.15">
      <c r="B9" s="16">
        <v>30</v>
      </c>
      <c r="C9" s="17" t="s">
        <v>15</v>
      </c>
      <c r="D9" s="18">
        <f t="shared" si="0"/>
        <v>30000</v>
      </c>
      <c r="E9" s="6">
        <f t="shared" si="1"/>
        <v>10.308952660644293</v>
      </c>
      <c r="F9" s="6">
        <f t="shared" si="2"/>
        <v>28.022638687873904</v>
      </c>
      <c r="G9" s="7">
        <f t="shared" si="3"/>
        <v>71.977361312126092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x14ac:dyDescent="0.15">
      <c r="B10" s="16">
        <v>40</v>
      </c>
      <c r="C10" s="17" t="s">
        <v>15</v>
      </c>
      <c r="D10" s="18">
        <f t="shared" si="0"/>
        <v>40000</v>
      </c>
      <c r="E10" s="6">
        <f t="shared" si="1"/>
        <v>10.596634733096073</v>
      </c>
      <c r="F10" s="6">
        <f t="shared" si="2"/>
        <v>28.804639637793017</v>
      </c>
      <c r="G10" s="7">
        <f t="shared" si="3"/>
        <v>71.195360362206983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2:22" x14ac:dyDescent="0.15">
      <c r="B11" s="16">
        <v>50</v>
      </c>
      <c r="C11" s="17" t="s">
        <v>15</v>
      </c>
      <c r="D11" s="18">
        <f t="shared" si="0"/>
        <v>50000</v>
      </c>
      <c r="E11" s="6">
        <f t="shared" si="1"/>
        <v>10.819778284410283</v>
      </c>
      <c r="F11" s="6">
        <f t="shared" si="2"/>
        <v>29.411206698468256</v>
      </c>
      <c r="G11" s="7">
        <f t="shared" si="3"/>
        <v>70.588793301531751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2:22" x14ac:dyDescent="0.15">
      <c r="B12" s="16">
        <v>1</v>
      </c>
      <c r="C12" s="17" t="s">
        <v>16</v>
      </c>
      <c r="D12" s="18">
        <f t="shared" si="0"/>
        <v>60000</v>
      </c>
      <c r="E12" s="6">
        <f t="shared" si="1"/>
        <v>11.002099841204238</v>
      </c>
      <c r="F12" s="6">
        <f t="shared" si="2"/>
        <v>29.906808073237627</v>
      </c>
      <c r="G12" s="7">
        <f t="shared" si="3"/>
        <v>70.093191926762373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2:22" x14ac:dyDescent="0.15">
      <c r="B13" s="16">
        <v>5</v>
      </c>
      <c r="C13" s="17" t="s">
        <v>16</v>
      </c>
      <c r="D13" s="18">
        <f t="shared" si="0"/>
        <v>300000</v>
      </c>
      <c r="E13" s="6">
        <f t="shared" si="1"/>
        <v>12.611537753638338</v>
      </c>
      <c r="F13" s="6">
        <f t="shared" si="2"/>
        <v>34.281713904640299</v>
      </c>
      <c r="G13" s="7">
        <f t="shared" si="3"/>
        <v>65.718286095359701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2:22" x14ac:dyDescent="0.15">
      <c r="B14" s="16">
        <v>15</v>
      </c>
      <c r="C14" s="17" t="s">
        <v>16</v>
      </c>
      <c r="D14" s="18">
        <f t="shared" si="0"/>
        <v>900000</v>
      </c>
      <c r="E14" s="6">
        <f t="shared" si="1"/>
        <v>13.710150042306449</v>
      </c>
      <c r="F14" s="6">
        <f t="shared" si="2"/>
        <v>37.268051725448629</v>
      </c>
      <c r="G14" s="7">
        <f t="shared" si="3"/>
        <v>62.731948274551371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2:22" x14ac:dyDescent="0.15">
      <c r="B15" s="16">
        <v>30</v>
      </c>
      <c r="C15" s="17" t="s">
        <v>16</v>
      </c>
      <c r="D15" s="18">
        <f t="shared" si="0"/>
        <v>1800000</v>
      </c>
      <c r="E15" s="6">
        <f t="shared" si="1"/>
        <v>14.403297222866392</v>
      </c>
      <c r="F15" s="6">
        <f t="shared" si="2"/>
        <v>39.152221110812341</v>
      </c>
      <c r="G15" s="7">
        <f t="shared" si="3"/>
        <v>60.847778889187659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2:22" x14ac:dyDescent="0.15">
      <c r="B16" s="16">
        <v>45</v>
      </c>
      <c r="C16" s="17" t="s">
        <v>16</v>
      </c>
      <c r="D16" s="18">
        <f t="shared" si="0"/>
        <v>2700000</v>
      </c>
      <c r="E16" s="6">
        <f t="shared" si="1"/>
        <v>14.808762330974558</v>
      </c>
      <c r="F16" s="6">
        <f t="shared" si="2"/>
        <v>40.254389546256952</v>
      </c>
      <c r="G16" s="7">
        <f t="shared" si="3"/>
        <v>59.745610453743048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2:22" x14ac:dyDescent="0.15">
      <c r="B17" s="16">
        <v>1</v>
      </c>
      <c r="C17" s="17" t="s">
        <v>17</v>
      </c>
      <c r="D17" s="18">
        <f t="shared" si="0"/>
        <v>3600000</v>
      </c>
      <c r="E17" s="6">
        <f t="shared" si="1"/>
        <v>15.096444403426338</v>
      </c>
      <c r="F17" s="6">
        <f t="shared" si="2"/>
        <v>41.036390496176061</v>
      </c>
      <c r="G17" s="7">
        <f t="shared" si="3"/>
        <v>58.963609503823939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2:22" x14ac:dyDescent="0.15">
      <c r="B18" s="16">
        <v>4</v>
      </c>
      <c r="C18" s="17" t="s">
        <v>17</v>
      </c>
      <c r="D18" s="18">
        <f t="shared" si="0"/>
        <v>14400000</v>
      </c>
      <c r="E18" s="6">
        <f t="shared" si="1"/>
        <v>16.48273876454623</v>
      </c>
      <c r="F18" s="6">
        <f t="shared" si="2"/>
        <v>44.804729266903507</v>
      </c>
      <c r="G18" s="7">
        <f t="shared" si="3"/>
        <v>55.195270733096493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2:22" x14ac:dyDescent="0.15">
      <c r="B19" s="16">
        <v>8</v>
      </c>
      <c r="C19" s="17" t="s">
        <v>17</v>
      </c>
      <c r="D19" s="18">
        <f t="shared" si="0"/>
        <v>28800000</v>
      </c>
      <c r="E19" s="6">
        <f t="shared" si="1"/>
        <v>17.175885945106174</v>
      </c>
      <c r="F19" s="6">
        <f t="shared" si="2"/>
        <v>46.688898652267227</v>
      </c>
      <c r="G19" s="7">
        <f t="shared" si="3"/>
        <v>53.311101347732773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2:22" x14ac:dyDescent="0.15">
      <c r="B20" s="16">
        <v>16</v>
      </c>
      <c r="C20" s="17" t="s">
        <v>17</v>
      </c>
      <c r="D20" s="18">
        <f t="shared" si="0"/>
        <v>57600000</v>
      </c>
      <c r="E20" s="6">
        <f t="shared" si="1"/>
        <v>17.869033125666121</v>
      </c>
      <c r="F20" s="6">
        <f t="shared" si="2"/>
        <v>48.573068037630946</v>
      </c>
      <c r="G20" s="7">
        <f t="shared" si="3"/>
        <v>51.426931962369054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2:22" x14ac:dyDescent="0.15">
      <c r="B21" s="16">
        <v>1</v>
      </c>
      <c r="C21" s="17" t="s">
        <v>18</v>
      </c>
      <c r="D21" s="18">
        <f t="shared" si="0"/>
        <v>86400000</v>
      </c>
      <c r="E21" s="6">
        <f t="shared" si="1"/>
        <v>18.274498233774285</v>
      </c>
      <c r="F21" s="6">
        <f t="shared" si="2"/>
        <v>49.67523647307555</v>
      </c>
      <c r="G21" s="7">
        <f t="shared" si="3"/>
        <v>50.32476352692445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22" x14ac:dyDescent="0.15">
      <c r="B22" s="16">
        <v>2</v>
      </c>
      <c r="C22" s="17" t="s">
        <v>18</v>
      </c>
      <c r="D22" s="18">
        <f t="shared" si="0"/>
        <v>172800000</v>
      </c>
      <c r="E22" s="6">
        <f t="shared" si="1"/>
        <v>18.967645414334228</v>
      </c>
      <c r="F22" s="6">
        <f t="shared" si="2"/>
        <v>51.55940585843927</v>
      </c>
      <c r="G22" s="7">
        <f t="shared" si="3"/>
        <v>48.44059414156073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2:22" x14ac:dyDescent="0.15">
      <c r="B23" s="16">
        <v>7</v>
      </c>
      <c r="C23" s="17" t="s">
        <v>18</v>
      </c>
      <c r="D23" s="18">
        <f t="shared" si="0"/>
        <v>604800000</v>
      </c>
      <c r="E23" s="6">
        <f t="shared" si="1"/>
        <v>20.220408382829596</v>
      </c>
      <c r="F23" s="6">
        <f t="shared" si="2"/>
        <v>54.964768671066636</v>
      </c>
      <c r="G23" s="7">
        <f t="shared" si="3"/>
        <v>45.035231328933364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2:22" x14ac:dyDescent="0.15">
      <c r="B24" s="16">
        <v>30</v>
      </c>
      <c r="C24" s="17" t="s">
        <v>18</v>
      </c>
      <c r="D24" s="18">
        <f t="shared" si="0"/>
        <v>2592000000</v>
      </c>
      <c r="E24" s="6">
        <f t="shared" si="1"/>
        <v>21.675695615436439</v>
      </c>
      <c r="F24" s="6">
        <f t="shared" si="2"/>
        <v>58.920649510650271</v>
      </c>
      <c r="G24" s="7">
        <f t="shared" si="3"/>
        <v>41.079350489349729</v>
      </c>
    </row>
    <row r="25" spans="2:22" x14ac:dyDescent="0.15">
      <c r="B25" s="16">
        <v>220</v>
      </c>
      <c r="C25" s="17" t="s">
        <v>18</v>
      </c>
      <c r="D25" s="18">
        <f t="shared" si="0"/>
        <v>19008000000</v>
      </c>
      <c r="E25" s="6">
        <f t="shared" si="1"/>
        <v>23.668125780126644</v>
      </c>
      <c r="F25" s="6">
        <f t="shared" si="2"/>
        <v>64.336636221801314</v>
      </c>
      <c r="G25" s="7">
        <f t="shared" si="3"/>
        <v>35.663363778198686</v>
      </c>
    </row>
    <row r="26" spans="2:22" x14ac:dyDescent="0.15">
      <c r="B26" s="16">
        <v>365</v>
      </c>
      <c r="C26" s="17" t="s">
        <v>18</v>
      </c>
      <c r="D26" s="18">
        <f t="shared" si="0"/>
        <v>31536000000</v>
      </c>
      <c r="E26" s="6">
        <f t="shared" si="1"/>
        <v>24.174395587356777</v>
      </c>
      <c r="F26" s="6">
        <f t="shared" si="2"/>
        <v>65.712820239092451</v>
      </c>
      <c r="G26" s="7">
        <f t="shared" si="3"/>
        <v>34.287179760907549</v>
      </c>
    </row>
    <row r="27" spans="2:22" x14ac:dyDescent="0.15">
      <c r="B27" s="16">
        <v>3650</v>
      </c>
      <c r="C27" s="17" t="s">
        <v>18</v>
      </c>
      <c r="D27" s="18">
        <f t="shared" si="0"/>
        <v>315360000000</v>
      </c>
      <c r="E27" s="6">
        <f t="shared" si="1"/>
        <v>26.47698068035082</v>
      </c>
      <c r="F27" s="6">
        <f t="shared" si="2"/>
        <v>71.971895455858842</v>
      </c>
      <c r="G27" s="7">
        <f t="shared" si="3"/>
        <v>28.028104544141158</v>
      </c>
    </row>
    <row r="28" spans="2:22" x14ac:dyDescent="0.15">
      <c r="B28" s="19">
        <v>365000</v>
      </c>
      <c r="C28" s="20" t="s">
        <v>18</v>
      </c>
      <c r="D28" s="21">
        <f t="shared" si="0"/>
        <v>31536000000000</v>
      </c>
      <c r="E28" s="11">
        <f t="shared" si="1"/>
        <v>31.082150866338914</v>
      </c>
      <c r="F28" s="11">
        <f t="shared" si="2"/>
        <v>84.490045889391638</v>
      </c>
      <c r="G28" s="12">
        <f t="shared" si="3"/>
        <v>15.509954110608362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/>
  </sheetViews>
  <sheetFormatPr baseColWidth="12" defaultColWidth="10.7109375" defaultRowHeight="15" x14ac:dyDescent="0.15"/>
  <cols>
    <col min="1" max="1" width="2.7109375" style="2" customWidth="1"/>
    <col min="2" max="2" width="10.7109375" style="2"/>
    <col min="3" max="5" width="16.85546875" style="52" customWidth="1"/>
    <col min="6" max="6" width="1.7109375" style="52" customWidth="1"/>
    <col min="7" max="9" width="16.85546875" style="52" customWidth="1"/>
    <col min="10" max="16384" width="10.7109375" style="2"/>
  </cols>
  <sheetData>
    <row r="2" spans="2:9" s="1" customFormat="1" ht="16" thickBot="1" x14ac:dyDescent="0.2">
      <c r="B2" s="60" t="s">
        <v>0</v>
      </c>
      <c r="C2" s="61" t="s">
        <v>1</v>
      </c>
      <c r="D2" s="61" t="s">
        <v>2</v>
      </c>
      <c r="E2" s="61" t="s">
        <v>3</v>
      </c>
      <c r="F2" s="61"/>
      <c r="G2" s="61" t="s">
        <v>19</v>
      </c>
      <c r="H2" s="61" t="s">
        <v>21</v>
      </c>
      <c r="I2" s="62" t="s">
        <v>4</v>
      </c>
    </row>
    <row r="3" spans="2:9" s="1" customFormat="1" ht="4" customHeight="1" thickTop="1" x14ac:dyDescent="0.15">
      <c r="B3" s="4"/>
      <c r="C3" s="38"/>
      <c r="D3" s="38"/>
      <c r="E3" s="38"/>
      <c r="F3" s="38"/>
      <c r="G3" s="38"/>
      <c r="H3" s="38"/>
      <c r="I3" s="39"/>
    </row>
    <row r="4" spans="2:9" x14ac:dyDescent="0.15">
      <c r="B4" s="5">
        <f>IF(C4="","",ROW()-ROW(B$2)-1)</f>
        <v>1</v>
      </c>
      <c r="C4" s="63">
        <f>(50+SIN((ROW()-ROW(B$2)-1)^2)*5)</f>
        <v>54.207354924039485</v>
      </c>
      <c r="D4" s="40">
        <f>IF(C4="","",ROW()-ROW(B$2)-1)</f>
        <v>1</v>
      </c>
      <c r="E4" s="40">
        <f>IF(C4="","",C4*D4)</f>
        <v>54.207354924039485</v>
      </c>
      <c r="F4" s="40"/>
      <c r="G4" s="41" t="s">
        <v>20</v>
      </c>
      <c r="H4" s="41" t="s">
        <v>20</v>
      </c>
      <c r="I4" s="42" t="s">
        <v>20</v>
      </c>
    </row>
    <row r="5" spans="2:9" x14ac:dyDescent="0.15">
      <c r="B5" s="5">
        <f t="shared" ref="B5:B33" si="0">IF(C5="","",ROW()-ROW(B$2)-1)</f>
        <v>2</v>
      </c>
      <c r="C5" s="63">
        <f t="shared" ref="C5:C7" si="1">(50+SIN((ROW()-ROW(B$2)-1)^2)*5)</f>
        <v>46.215987523460356</v>
      </c>
      <c r="D5" s="40">
        <f t="shared" ref="D5:D33" si="2">IF(C5="","",ROW()-ROW(B$2)-1)</f>
        <v>2</v>
      </c>
      <c r="E5" s="40">
        <f t="shared" ref="E5:E33" si="3">IF(C5="","",C5*D5)</f>
        <v>92.431975046920712</v>
      </c>
      <c r="F5" s="40"/>
      <c r="G5" s="40">
        <f>IF(C5="","",LN(C5/C4))</f>
        <v>-0.15949081042730348</v>
      </c>
      <c r="H5" s="40">
        <f>IF(C5="","",G5-G$36)</f>
        <v>-0.12282197802581785</v>
      </c>
      <c r="I5" s="43">
        <f t="shared" ref="I5:I33" si="4">IF(H5="","",H5^2)</f>
        <v>1.5085238286174482E-2</v>
      </c>
    </row>
    <row r="6" spans="2:9" x14ac:dyDescent="0.15">
      <c r="B6" s="5">
        <f t="shared" si="0"/>
        <v>3</v>
      </c>
      <c r="C6" s="63">
        <f t="shared" si="1"/>
        <v>52.060592426208785</v>
      </c>
      <c r="D6" s="40">
        <f t="shared" si="2"/>
        <v>3</v>
      </c>
      <c r="E6" s="40">
        <f t="shared" si="3"/>
        <v>156.18177727862636</v>
      </c>
      <c r="F6" s="40"/>
      <c r="G6" s="40">
        <f t="shared" ref="G6:G33" si="5">IF(C6="","",LN(C6/C5))</f>
        <v>0.1190824906655267</v>
      </c>
      <c r="H6" s="40">
        <f t="shared" ref="H6:H33" si="6">IF(C6="","",G6-G$36)</f>
        <v>0.15575132306701234</v>
      </c>
      <c r="I6" s="43">
        <f t="shared" si="4"/>
        <v>2.4258474637124848E-2</v>
      </c>
    </row>
    <row r="7" spans="2:9" x14ac:dyDescent="0.15">
      <c r="B7" s="5">
        <f t="shared" si="0"/>
        <v>4</v>
      </c>
      <c r="C7" s="63">
        <f t="shared" si="1"/>
        <v>48.560483416674671</v>
      </c>
      <c r="D7" s="40">
        <f t="shared" ref="D7:D8" si="7">IF(C7="","",ROW()-ROW(B$2)-1)</f>
        <v>4</v>
      </c>
      <c r="E7" s="40">
        <f t="shared" si="3"/>
        <v>194.24193366669869</v>
      </c>
      <c r="F7" s="40"/>
      <c r="G7" s="40">
        <f t="shared" si="5"/>
        <v>-6.959817744268014E-2</v>
      </c>
      <c r="H7" s="40">
        <f t="shared" si="6"/>
        <v>-3.2929345041194498E-2</v>
      </c>
      <c r="I7" s="43">
        <f t="shared" si="4"/>
        <v>1.0843417648420408E-3</v>
      </c>
    </row>
    <row r="8" spans="2:9" x14ac:dyDescent="0.15">
      <c r="B8" s="5" t="str">
        <f t="shared" si="0"/>
        <v/>
      </c>
      <c r="C8" s="63"/>
      <c r="D8" s="40" t="str">
        <f t="shared" si="7"/>
        <v/>
      </c>
      <c r="E8" s="40" t="str">
        <f t="shared" si="3"/>
        <v/>
      </c>
      <c r="F8" s="40"/>
      <c r="G8" s="40" t="str">
        <f t="shared" si="5"/>
        <v/>
      </c>
      <c r="H8" s="40" t="str">
        <f t="shared" si="6"/>
        <v/>
      </c>
      <c r="I8" s="43" t="str">
        <f t="shared" si="4"/>
        <v/>
      </c>
    </row>
    <row r="9" spans="2:9" x14ac:dyDescent="0.15">
      <c r="B9" s="5" t="str">
        <f t="shared" si="0"/>
        <v/>
      </c>
      <c r="C9" s="63"/>
      <c r="D9" s="40" t="str">
        <f t="shared" si="2"/>
        <v/>
      </c>
      <c r="E9" s="40" t="str">
        <f t="shared" si="3"/>
        <v/>
      </c>
      <c r="F9" s="40"/>
      <c r="G9" s="40" t="str">
        <f t="shared" si="5"/>
        <v/>
      </c>
      <c r="H9" s="40" t="str">
        <f t="shared" si="6"/>
        <v/>
      </c>
      <c r="I9" s="43" t="str">
        <f t="shared" si="4"/>
        <v/>
      </c>
    </row>
    <row r="10" spans="2:9" x14ac:dyDescent="0.15">
      <c r="B10" s="5" t="str">
        <f t="shared" si="0"/>
        <v/>
      </c>
      <c r="C10" s="63"/>
      <c r="D10" s="40" t="str">
        <f t="shared" si="2"/>
        <v/>
      </c>
      <c r="E10" s="40" t="str">
        <f t="shared" si="3"/>
        <v/>
      </c>
      <c r="F10" s="40"/>
      <c r="G10" s="40" t="str">
        <f t="shared" si="5"/>
        <v/>
      </c>
      <c r="H10" s="40" t="str">
        <f t="shared" si="6"/>
        <v/>
      </c>
      <c r="I10" s="43" t="str">
        <f t="shared" si="4"/>
        <v/>
      </c>
    </row>
    <row r="11" spans="2:9" x14ac:dyDescent="0.15">
      <c r="B11" s="5" t="str">
        <f t="shared" si="0"/>
        <v/>
      </c>
      <c r="C11" s="63"/>
      <c r="D11" s="40" t="str">
        <f t="shared" si="2"/>
        <v/>
      </c>
      <c r="E11" s="40" t="str">
        <f t="shared" si="3"/>
        <v/>
      </c>
      <c r="F11" s="40"/>
      <c r="G11" s="40" t="str">
        <f t="shared" si="5"/>
        <v/>
      </c>
      <c r="H11" s="40" t="str">
        <f t="shared" si="6"/>
        <v/>
      </c>
      <c r="I11" s="43" t="str">
        <f t="shared" si="4"/>
        <v/>
      </c>
    </row>
    <row r="12" spans="2:9" x14ac:dyDescent="0.15">
      <c r="B12" s="5" t="str">
        <f t="shared" si="0"/>
        <v/>
      </c>
      <c r="C12" s="63"/>
      <c r="D12" s="40" t="str">
        <f t="shared" si="2"/>
        <v/>
      </c>
      <c r="E12" s="40" t="str">
        <f t="shared" si="3"/>
        <v/>
      </c>
      <c r="F12" s="40"/>
      <c r="G12" s="40" t="str">
        <f t="shared" si="5"/>
        <v/>
      </c>
      <c r="H12" s="40" t="str">
        <f t="shared" si="6"/>
        <v/>
      </c>
      <c r="I12" s="43" t="str">
        <f t="shared" si="4"/>
        <v/>
      </c>
    </row>
    <row r="13" spans="2:9" x14ac:dyDescent="0.15">
      <c r="B13" s="5" t="str">
        <f t="shared" si="0"/>
        <v/>
      </c>
      <c r="C13" s="63"/>
      <c r="D13" s="40" t="str">
        <f t="shared" si="2"/>
        <v/>
      </c>
      <c r="E13" s="40" t="str">
        <f t="shared" si="3"/>
        <v/>
      </c>
      <c r="F13" s="40"/>
      <c r="G13" s="40" t="str">
        <f t="shared" si="5"/>
        <v/>
      </c>
      <c r="H13" s="40" t="str">
        <f t="shared" si="6"/>
        <v/>
      </c>
      <c r="I13" s="43" t="str">
        <f t="shared" si="4"/>
        <v/>
      </c>
    </row>
    <row r="14" spans="2:9" x14ac:dyDescent="0.15">
      <c r="B14" s="5" t="str">
        <f t="shared" si="0"/>
        <v/>
      </c>
      <c r="C14" s="63"/>
      <c r="D14" s="40" t="str">
        <f t="shared" si="2"/>
        <v/>
      </c>
      <c r="E14" s="40" t="str">
        <f t="shared" si="3"/>
        <v/>
      </c>
      <c r="F14" s="40"/>
      <c r="G14" s="40" t="str">
        <f t="shared" si="5"/>
        <v/>
      </c>
      <c r="H14" s="40" t="str">
        <f t="shared" si="6"/>
        <v/>
      </c>
      <c r="I14" s="43" t="str">
        <f t="shared" si="4"/>
        <v/>
      </c>
    </row>
    <row r="15" spans="2:9" x14ac:dyDescent="0.15">
      <c r="B15" s="5" t="str">
        <f t="shared" si="0"/>
        <v/>
      </c>
      <c r="C15" s="63"/>
      <c r="D15" s="40" t="str">
        <f t="shared" si="2"/>
        <v/>
      </c>
      <c r="E15" s="40" t="str">
        <f t="shared" si="3"/>
        <v/>
      </c>
      <c r="F15" s="40"/>
      <c r="G15" s="40" t="str">
        <f t="shared" si="5"/>
        <v/>
      </c>
      <c r="H15" s="40" t="str">
        <f t="shared" si="6"/>
        <v/>
      </c>
      <c r="I15" s="43" t="str">
        <f t="shared" si="4"/>
        <v/>
      </c>
    </row>
    <row r="16" spans="2:9" x14ac:dyDescent="0.15">
      <c r="B16" s="5" t="str">
        <f t="shared" si="0"/>
        <v/>
      </c>
      <c r="C16" s="63"/>
      <c r="D16" s="40" t="str">
        <f t="shared" si="2"/>
        <v/>
      </c>
      <c r="E16" s="40" t="str">
        <f t="shared" si="3"/>
        <v/>
      </c>
      <c r="F16" s="40"/>
      <c r="G16" s="40" t="str">
        <f t="shared" si="5"/>
        <v/>
      </c>
      <c r="H16" s="40" t="str">
        <f t="shared" si="6"/>
        <v/>
      </c>
      <c r="I16" s="43" t="str">
        <f t="shared" si="4"/>
        <v/>
      </c>
    </row>
    <row r="17" spans="2:9" x14ac:dyDescent="0.15">
      <c r="B17" s="5" t="str">
        <f t="shared" si="0"/>
        <v/>
      </c>
      <c r="C17" s="63"/>
      <c r="D17" s="40" t="str">
        <f t="shared" si="2"/>
        <v/>
      </c>
      <c r="E17" s="40" t="str">
        <f t="shared" si="3"/>
        <v/>
      </c>
      <c r="F17" s="40"/>
      <c r="G17" s="40" t="str">
        <f t="shared" si="5"/>
        <v/>
      </c>
      <c r="H17" s="40" t="str">
        <f t="shared" si="6"/>
        <v/>
      </c>
      <c r="I17" s="43" t="str">
        <f t="shared" si="4"/>
        <v/>
      </c>
    </row>
    <row r="18" spans="2:9" x14ac:dyDescent="0.15">
      <c r="B18" s="5" t="str">
        <f t="shared" si="0"/>
        <v/>
      </c>
      <c r="C18" s="63"/>
      <c r="D18" s="40" t="str">
        <f t="shared" si="2"/>
        <v/>
      </c>
      <c r="E18" s="40" t="str">
        <f t="shared" si="3"/>
        <v/>
      </c>
      <c r="F18" s="40"/>
      <c r="G18" s="40" t="str">
        <f t="shared" si="5"/>
        <v/>
      </c>
      <c r="H18" s="40" t="str">
        <f t="shared" si="6"/>
        <v/>
      </c>
      <c r="I18" s="43" t="str">
        <f t="shared" si="4"/>
        <v/>
      </c>
    </row>
    <row r="19" spans="2:9" x14ac:dyDescent="0.15">
      <c r="B19" s="5" t="str">
        <f t="shared" si="0"/>
        <v/>
      </c>
      <c r="C19" s="63"/>
      <c r="D19" s="40" t="str">
        <f t="shared" si="2"/>
        <v/>
      </c>
      <c r="E19" s="40" t="str">
        <f t="shared" si="3"/>
        <v/>
      </c>
      <c r="F19" s="40"/>
      <c r="G19" s="40" t="str">
        <f t="shared" si="5"/>
        <v/>
      </c>
      <c r="H19" s="40" t="str">
        <f t="shared" si="6"/>
        <v/>
      </c>
      <c r="I19" s="43" t="str">
        <f t="shared" si="4"/>
        <v/>
      </c>
    </row>
    <row r="20" spans="2:9" x14ac:dyDescent="0.15">
      <c r="B20" s="5" t="str">
        <f t="shared" si="0"/>
        <v/>
      </c>
      <c r="C20" s="63"/>
      <c r="D20" s="40" t="str">
        <f t="shared" si="2"/>
        <v/>
      </c>
      <c r="E20" s="40" t="str">
        <f t="shared" si="3"/>
        <v/>
      </c>
      <c r="F20" s="40"/>
      <c r="G20" s="40" t="str">
        <f t="shared" si="5"/>
        <v/>
      </c>
      <c r="H20" s="40" t="str">
        <f t="shared" si="6"/>
        <v/>
      </c>
      <c r="I20" s="43" t="str">
        <f t="shared" si="4"/>
        <v/>
      </c>
    </row>
    <row r="21" spans="2:9" x14ac:dyDescent="0.15">
      <c r="B21" s="5" t="str">
        <f t="shared" si="0"/>
        <v/>
      </c>
      <c r="C21" s="63"/>
      <c r="D21" s="40" t="str">
        <f t="shared" si="2"/>
        <v/>
      </c>
      <c r="E21" s="40" t="str">
        <f t="shared" si="3"/>
        <v/>
      </c>
      <c r="F21" s="40"/>
      <c r="G21" s="40" t="str">
        <f t="shared" si="5"/>
        <v/>
      </c>
      <c r="H21" s="40" t="str">
        <f t="shared" si="6"/>
        <v/>
      </c>
      <c r="I21" s="43" t="str">
        <f t="shared" si="4"/>
        <v/>
      </c>
    </row>
    <row r="22" spans="2:9" x14ac:dyDescent="0.15">
      <c r="B22" s="5" t="str">
        <f t="shared" si="0"/>
        <v/>
      </c>
      <c r="C22" s="63"/>
      <c r="D22" s="40" t="str">
        <f t="shared" si="2"/>
        <v/>
      </c>
      <c r="E22" s="40" t="str">
        <f t="shared" si="3"/>
        <v/>
      </c>
      <c r="F22" s="40"/>
      <c r="G22" s="40" t="str">
        <f t="shared" si="5"/>
        <v/>
      </c>
      <c r="H22" s="40" t="str">
        <f t="shared" si="6"/>
        <v/>
      </c>
      <c r="I22" s="43" t="str">
        <f t="shared" si="4"/>
        <v/>
      </c>
    </row>
    <row r="23" spans="2:9" x14ac:dyDescent="0.15">
      <c r="B23" s="5" t="str">
        <f t="shared" si="0"/>
        <v/>
      </c>
      <c r="C23" s="63"/>
      <c r="D23" s="40" t="str">
        <f t="shared" si="2"/>
        <v/>
      </c>
      <c r="E23" s="40" t="str">
        <f t="shared" si="3"/>
        <v/>
      </c>
      <c r="F23" s="40"/>
      <c r="G23" s="40" t="str">
        <f t="shared" si="5"/>
        <v/>
      </c>
      <c r="H23" s="40" t="str">
        <f t="shared" si="6"/>
        <v/>
      </c>
      <c r="I23" s="43" t="str">
        <f t="shared" si="4"/>
        <v/>
      </c>
    </row>
    <row r="24" spans="2:9" x14ac:dyDescent="0.15">
      <c r="B24" s="5" t="str">
        <f t="shared" si="0"/>
        <v/>
      </c>
      <c r="C24" s="63"/>
      <c r="D24" s="40" t="str">
        <f t="shared" si="2"/>
        <v/>
      </c>
      <c r="E24" s="40" t="str">
        <f t="shared" si="3"/>
        <v/>
      </c>
      <c r="F24" s="40"/>
      <c r="G24" s="40" t="str">
        <f t="shared" si="5"/>
        <v/>
      </c>
      <c r="H24" s="40" t="str">
        <f t="shared" si="6"/>
        <v/>
      </c>
      <c r="I24" s="43" t="str">
        <f t="shared" si="4"/>
        <v/>
      </c>
    </row>
    <row r="25" spans="2:9" x14ac:dyDescent="0.15">
      <c r="B25" s="5" t="str">
        <f t="shared" si="0"/>
        <v/>
      </c>
      <c r="C25" s="63"/>
      <c r="D25" s="40" t="str">
        <f t="shared" si="2"/>
        <v/>
      </c>
      <c r="E25" s="40" t="str">
        <f t="shared" si="3"/>
        <v/>
      </c>
      <c r="F25" s="40"/>
      <c r="G25" s="40" t="str">
        <f t="shared" si="5"/>
        <v/>
      </c>
      <c r="H25" s="40" t="str">
        <f t="shared" si="6"/>
        <v/>
      </c>
      <c r="I25" s="43" t="str">
        <f t="shared" si="4"/>
        <v/>
      </c>
    </row>
    <row r="26" spans="2:9" x14ac:dyDescent="0.15">
      <c r="B26" s="5" t="str">
        <f t="shared" si="0"/>
        <v/>
      </c>
      <c r="C26" s="63"/>
      <c r="D26" s="40" t="str">
        <f t="shared" si="2"/>
        <v/>
      </c>
      <c r="E26" s="40" t="str">
        <f t="shared" si="3"/>
        <v/>
      </c>
      <c r="F26" s="40"/>
      <c r="G26" s="40" t="str">
        <f t="shared" si="5"/>
        <v/>
      </c>
      <c r="H26" s="40" t="str">
        <f t="shared" si="6"/>
        <v/>
      </c>
      <c r="I26" s="43" t="str">
        <f t="shared" si="4"/>
        <v/>
      </c>
    </row>
    <row r="27" spans="2:9" x14ac:dyDescent="0.15">
      <c r="B27" s="5" t="str">
        <f t="shared" si="0"/>
        <v/>
      </c>
      <c r="C27" s="63"/>
      <c r="D27" s="40" t="str">
        <f t="shared" si="2"/>
        <v/>
      </c>
      <c r="E27" s="40" t="str">
        <f t="shared" si="3"/>
        <v/>
      </c>
      <c r="F27" s="40"/>
      <c r="G27" s="40" t="str">
        <f t="shared" si="5"/>
        <v/>
      </c>
      <c r="H27" s="40" t="str">
        <f t="shared" si="6"/>
        <v/>
      </c>
      <c r="I27" s="43" t="str">
        <f t="shared" si="4"/>
        <v/>
      </c>
    </row>
    <row r="28" spans="2:9" x14ac:dyDescent="0.15">
      <c r="B28" s="5" t="str">
        <f t="shared" si="0"/>
        <v/>
      </c>
      <c r="C28" s="63"/>
      <c r="D28" s="40" t="str">
        <f t="shared" si="2"/>
        <v/>
      </c>
      <c r="E28" s="40" t="str">
        <f t="shared" si="3"/>
        <v/>
      </c>
      <c r="F28" s="40"/>
      <c r="G28" s="40" t="str">
        <f t="shared" si="5"/>
        <v/>
      </c>
      <c r="H28" s="40" t="str">
        <f t="shared" si="6"/>
        <v/>
      </c>
      <c r="I28" s="43" t="str">
        <f t="shared" si="4"/>
        <v/>
      </c>
    </row>
    <row r="29" spans="2:9" x14ac:dyDescent="0.15">
      <c r="B29" s="5" t="str">
        <f t="shared" si="0"/>
        <v/>
      </c>
      <c r="C29" s="63"/>
      <c r="D29" s="40" t="str">
        <f t="shared" si="2"/>
        <v/>
      </c>
      <c r="E29" s="40" t="str">
        <f t="shared" si="3"/>
        <v/>
      </c>
      <c r="F29" s="40"/>
      <c r="G29" s="40" t="str">
        <f t="shared" si="5"/>
        <v/>
      </c>
      <c r="H29" s="40" t="str">
        <f t="shared" si="6"/>
        <v/>
      </c>
      <c r="I29" s="43" t="str">
        <f t="shared" si="4"/>
        <v/>
      </c>
    </row>
    <row r="30" spans="2:9" x14ac:dyDescent="0.15">
      <c r="B30" s="5" t="str">
        <f t="shared" si="0"/>
        <v/>
      </c>
      <c r="C30" s="63"/>
      <c r="D30" s="40" t="str">
        <f t="shared" si="2"/>
        <v/>
      </c>
      <c r="E30" s="40" t="str">
        <f t="shared" si="3"/>
        <v/>
      </c>
      <c r="F30" s="40"/>
      <c r="G30" s="40" t="str">
        <f t="shared" si="5"/>
        <v/>
      </c>
      <c r="H30" s="40" t="str">
        <f t="shared" si="6"/>
        <v/>
      </c>
      <c r="I30" s="43" t="str">
        <f t="shared" si="4"/>
        <v/>
      </c>
    </row>
    <row r="31" spans="2:9" x14ac:dyDescent="0.15">
      <c r="B31" s="5" t="str">
        <f t="shared" si="0"/>
        <v/>
      </c>
      <c r="C31" s="63"/>
      <c r="D31" s="40" t="str">
        <f t="shared" si="2"/>
        <v/>
      </c>
      <c r="E31" s="40" t="str">
        <f t="shared" si="3"/>
        <v/>
      </c>
      <c r="F31" s="40"/>
      <c r="G31" s="40" t="str">
        <f t="shared" si="5"/>
        <v/>
      </c>
      <c r="H31" s="40" t="str">
        <f t="shared" si="6"/>
        <v/>
      </c>
      <c r="I31" s="43" t="str">
        <f t="shared" si="4"/>
        <v/>
      </c>
    </row>
    <row r="32" spans="2:9" x14ac:dyDescent="0.15">
      <c r="B32" s="5" t="str">
        <f t="shared" si="0"/>
        <v/>
      </c>
      <c r="C32" s="63"/>
      <c r="D32" s="40" t="str">
        <f t="shared" si="2"/>
        <v/>
      </c>
      <c r="E32" s="40" t="str">
        <f t="shared" si="3"/>
        <v/>
      </c>
      <c r="F32" s="40"/>
      <c r="G32" s="40" t="str">
        <f t="shared" si="5"/>
        <v/>
      </c>
      <c r="H32" s="40" t="str">
        <f t="shared" si="6"/>
        <v/>
      </c>
      <c r="I32" s="43" t="str">
        <f t="shared" si="4"/>
        <v/>
      </c>
    </row>
    <row r="33" spans="2:9" x14ac:dyDescent="0.15">
      <c r="B33" s="5" t="str">
        <f t="shared" si="0"/>
        <v/>
      </c>
      <c r="C33" s="63"/>
      <c r="D33" s="40" t="str">
        <f t="shared" si="2"/>
        <v/>
      </c>
      <c r="E33" s="40" t="str">
        <f t="shared" si="3"/>
        <v/>
      </c>
      <c r="F33" s="40"/>
      <c r="G33" s="40" t="str">
        <f t="shared" si="5"/>
        <v/>
      </c>
      <c r="H33" s="40" t="str">
        <f t="shared" si="6"/>
        <v/>
      </c>
      <c r="I33" s="43" t="str">
        <f t="shared" si="4"/>
        <v/>
      </c>
    </row>
    <row r="34" spans="2:9" ht="4" customHeight="1" thickBot="1" x14ac:dyDescent="0.2">
      <c r="B34" s="8"/>
      <c r="C34" s="44"/>
      <c r="D34" s="44"/>
      <c r="E34" s="44"/>
      <c r="F34" s="44"/>
      <c r="G34" s="44"/>
      <c r="H34" s="44"/>
      <c r="I34" s="45"/>
    </row>
    <row r="35" spans="2:9" ht="16" thickTop="1" x14ac:dyDescent="0.15">
      <c r="B35" s="9" t="s">
        <v>5</v>
      </c>
      <c r="C35" s="38" t="s">
        <v>6</v>
      </c>
      <c r="D35" s="46">
        <f>SUM(D3:D34)</f>
        <v>10</v>
      </c>
      <c r="E35" s="46">
        <f>SUM(E3:E34)</f>
        <v>497.06304091628527</v>
      </c>
      <c r="F35" s="46"/>
      <c r="G35" s="46">
        <f>SUM(G3:G34)</f>
        <v>-0.11000649720445692</v>
      </c>
      <c r="H35" s="38" t="s">
        <v>6</v>
      </c>
      <c r="I35" s="47">
        <f>SUM(I3:I34)</f>
        <v>4.0428054688141368E-2</v>
      </c>
    </row>
    <row r="36" spans="2:9" x14ac:dyDescent="0.15">
      <c r="B36" s="5" t="s">
        <v>27</v>
      </c>
      <c r="C36" s="40">
        <f>E35/D35</f>
        <v>49.706304091628525</v>
      </c>
      <c r="D36" s="41" t="s">
        <v>6</v>
      </c>
      <c r="E36" s="41" t="s">
        <v>6</v>
      </c>
      <c r="F36" s="40"/>
      <c r="G36" s="40">
        <f>AVERAGE(G3:G34)</f>
        <v>-3.6668832401485642E-2</v>
      </c>
      <c r="H36" s="41" t="s">
        <v>6</v>
      </c>
      <c r="I36" s="42" t="s">
        <v>6</v>
      </c>
    </row>
    <row r="37" spans="2:9" x14ac:dyDescent="0.15">
      <c r="B37" s="5" t="s">
        <v>28</v>
      </c>
      <c r="C37" s="40">
        <f>I35/MAX(COUNTA(C3:C34)-1-1,1)</f>
        <v>2.0214027344070684E-2</v>
      </c>
      <c r="D37" s="41" t="s">
        <v>6</v>
      </c>
      <c r="E37" s="41" t="s">
        <v>6</v>
      </c>
      <c r="F37" s="40"/>
      <c r="G37" s="40"/>
      <c r="H37" s="41" t="s">
        <v>6</v>
      </c>
      <c r="I37" s="42" t="s">
        <v>6</v>
      </c>
    </row>
    <row r="38" spans="2:9" x14ac:dyDescent="0.15">
      <c r="B38" s="5" t="s">
        <v>29</v>
      </c>
      <c r="C38" s="40">
        <f>SQRT(C37)</f>
        <v>0.14217604349562793</v>
      </c>
      <c r="D38" s="41" t="s">
        <v>6</v>
      </c>
      <c r="E38" s="41" t="s">
        <v>6</v>
      </c>
      <c r="F38" s="40"/>
      <c r="G38" s="40"/>
      <c r="H38" s="41" t="s">
        <v>6</v>
      </c>
      <c r="I38" s="42" t="s">
        <v>6</v>
      </c>
    </row>
    <row r="39" spans="2:9" x14ac:dyDescent="0.15">
      <c r="B39" s="5" t="s">
        <v>32</v>
      </c>
      <c r="C39" s="40">
        <v>1.96</v>
      </c>
      <c r="D39" s="41"/>
      <c r="E39" s="41"/>
      <c r="F39" s="40"/>
      <c r="G39" s="40"/>
      <c r="H39" s="41"/>
      <c r="I39" s="42"/>
    </row>
    <row r="40" spans="2:9" x14ac:dyDescent="0.15">
      <c r="B40" s="5" t="s">
        <v>30</v>
      </c>
      <c r="C40" s="48">
        <f>VLOOKUP(MAX(B3:B34),B3:C34,2,FALSE)</f>
        <v>48.560483416674671</v>
      </c>
      <c r="D40" s="41" t="s">
        <v>6</v>
      </c>
      <c r="E40" s="41" t="s">
        <v>6</v>
      </c>
      <c r="F40" s="40"/>
      <c r="G40" s="40"/>
      <c r="H40" s="41" t="s">
        <v>6</v>
      </c>
      <c r="I40" s="42" t="s">
        <v>6</v>
      </c>
    </row>
    <row r="41" spans="2:9" x14ac:dyDescent="0.15">
      <c r="B41" s="5" t="s">
        <v>31</v>
      </c>
      <c r="C41" s="40">
        <f>LN(C40/C36)</f>
        <v>-2.3321666208316872E-2</v>
      </c>
      <c r="D41" s="41"/>
      <c r="E41" s="41"/>
      <c r="F41" s="40"/>
      <c r="G41" s="40"/>
      <c r="H41" s="41"/>
      <c r="I41" s="42"/>
    </row>
    <row r="42" spans="2:9" x14ac:dyDescent="0.15">
      <c r="B42" s="5" t="s">
        <v>7</v>
      </c>
      <c r="C42" s="40">
        <f>C41/(C38*C39)</f>
        <v>-8.3690676694934824E-2</v>
      </c>
      <c r="D42" s="41" t="s">
        <v>6</v>
      </c>
      <c r="E42" s="41" t="s">
        <v>6</v>
      </c>
      <c r="F42" s="40"/>
      <c r="G42" s="40"/>
      <c r="H42" s="41" t="s">
        <v>6</v>
      </c>
      <c r="I42" s="42" t="s">
        <v>6</v>
      </c>
    </row>
    <row r="43" spans="2:9" x14ac:dyDescent="0.15">
      <c r="B43" s="10" t="s">
        <v>8</v>
      </c>
      <c r="C43" s="49">
        <f>1-ABS(C42)</f>
        <v>0.9163093233050652</v>
      </c>
      <c r="D43" s="50" t="s">
        <v>6</v>
      </c>
      <c r="E43" s="50" t="s">
        <v>6</v>
      </c>
      <c r="F43" s="49"/>
      <c r="G43" s="49"/>
      <c r="H43" s="50" t="s">
        <v>6</v>
      </c>
      <c r="I43" s="51" t="s">
        <v>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workbookViewId="0"/>
  </sheetViews>
  <sheetFormatPr baseColWidth="12" defaultColWidth="12.85546875" defaultRowHeight="15" x14ac:dyDescent="0.15"/>
  <cols>
    <col min="1" max="1" width="2.85546875" style="27" customWidth="1"/>
    <col min="2" max="2" width="6.42578125" style="27" bestFit="1" customWidth="1"/>
    <col min="3" max="3" width="12.42578125" style="27" bestFit="1" customWidth="1"/>
    <col min="4" max="4" width="15" style="27" bestFit="1" customWidth="1"/>
    <col min="5" max="5" width="9.85546875" style="27" bestFit="1" customWidth="1"/>
    <col min="6" max="6" width="15" style="27" bestFit="1" customWidth="1"/>
    <col min="7" max="7" width="17.42578125" style="27" bestFit="1" customWidth="1"/>
    <col min="8" max="8" width="8.140625" style="27" bestFit="1" customWidth="1"/>
    <col min="9" max="9" width="9" style="27" bestFit="1" customWidth="1"/>
    <col min="10" max="16384" width="12.85546875" style="27"/>
  </cols>
  <sheetData>
    <row r="2" spans="2:9" x14ac:dyDescent="0.15">
      <c r="B2" s="64" t="s">
        <v>33</v>
      </c>
      <c r="C2" s="65" t="s">
        <v>34</v>
      </c>
      <c r="D2" s="66" t="s">
        <v>42</v>
      </c>
      <c r="E2" s="67" t="s">
        <v>41</v>
      </c>
      <c r="F2" s="68" t="s">
        <v>39</v>
      </c>
      <c r="G2" s="69" t="s">
        <v>40</v>
      </c>
      <c r="H2" s="65" t="s">
        <v>35</v>
      </c>
      <c r="I2" s="67" t="s">
        <v>36</v>
      </c>
    </row>
    <row r="3" spans="2:9" x14ac:dyDescent="0.15">
      <c r="B3" s="70" t="s">
        <v>37</v>
      </c>
      <c r="C3" s="103">
        <v>1230</v>
      </c>
      <c r="D3" s="98">
        <f t="shared" ref="D3:D11" si="0">D4-D$13/10</f>
        <v>0</v>
      </c>
      <c r="E3" s="73">
        <v>0.1</v>
      </c>
      <c r="F3" s="78">
        <f>C3*E3</f>
        <v>123</v>
      </c>
      <c r="G3" s="79">
        <f>D3*E3</f>
        <v>0</v>
      </c>
      <c r="H3" s="80">
        <f>MAX(F3-MAX(G3-F3,0)/$B$4,0)</f>
        <v>123</v>
      </c>
      <c r="I3" s="81">
        <f>MAX(G3-MAX(F3-G3,0)/$B$4,0)</f>
        <v>0</v>
      </c>
    </row>
    <row r="4" spans="2:9" x14ac:dyDescent="0.15">
      <c r="B4" s="71">
        <v>10</v>
      </c>
      <c r="C4" s="84">
        <f>C3-C$3/10</f>
        <v>1107</v>
      </c>
      <c r="D4" s="99">
        <f t="shared" si="0"/>
        <v>123</v>
      </c>
      <c r="E4" s="74">
        <f>E3</f>
        <v>0.1</v>
      </c>
      <c r="F4" s="82">
        <f t="shared" ref="F4:F55" si="1">C4*E4</f>
        <v>110.7</v>
      </c>
      <c r="G4" s="83">
        <f t="shared" ref="G4:G55" si="2">D4*E4</f>
        <v>12.3</v>
      </c>
      <c r="H4" s="84">
        <f t="shared" ref="H4:H13" si="3">MAX(F4-MAX(G4-F4,0)/$B$4,0)</f>
        <v>110.7</v>
      </c>
      <c r="I4" s="85">
        <f t="shared" ref="I4:I13" si="4">MAX(G4-MAX(F4-G4,0)/$B$4,0)</f>
        <v>2.4600000000000009</v>
      </c>
    </row>
    <row r="5" spans="2:9" x14ac:dyDescent="0.15">
      <c r="B5" s="71"/>
      <c r="C5" s="84">
        <f t="shared" ref="C5:C13" si="5">C4-C$3/10</f>
        <v>984</v>
      </c>
      <c r="D5" s="99">
        <f t="shared" si="0"/>
        <v>246</v>
      </c>
      <c r="E5" s="74">
        <f t="shared" ref="E5:E55" si="6">E4</f>
        <v>0.1</v>
      </c>
      <c r="F5" s="82">
        <f t="shared" si="1"/>
        <v>98.4</v>
      </c>
      <c r="G5" s="83">
        <f t="shared" si="2"/>
        <v>24.6</v>
      </c>
      <c r="H5" s="84">
        <f t="shared" si="3"/>
        <v>98.4</v>
      </c>
      <c r="I5" s="85">
        <f t="shared" si="4"/>
        <v>17.22</v>
      </c>
    </row>
    <row r="6" spans="2:9" x14ac:dyDescent="0.15">
      <c r="B6" s="71"/>
      <c r="C6" s="84">
        <f t="shared" si="5"/>
        <v>861</v>
      </c>
      <c r="D6" s="99">
        <f t="shared" si="0"/>
        <v>369</v>
      </c>
      <c r="E6" s="74">
        <f t="shared" si="6"/>
        <v>0.1</v>
      </c>
      <c r="F6" s="82">
        <f t="shared" si="1"/>
        <v>86.100000000000009</v>
      </c>
      <c r="G6" s="83">
        <f t="shared" si="2"/>
        <v>36.9</v>
      </c>
      <c r="H6" s="84">
        <f t="shared" si="3"/>
        <v>86.100000000000009</v>
      </c>
      <c r="I6" s="85">
        <f t="shared" si="4"/>
        <v>31.979999999999997</v>
      </c>
    </row>
    <row r="7" spans="2:9" x14ac:dyDescent="0.15">
      <c r="B7" s="71"/>
      <c r="C7" s="84">
        <f t="shared" si="5"/>
        <v>738</v>
      </c>
      <c r="D7" s="99">
        <f t="shared" si="0"/>
        <v>492</v>
      </c>
      <c r="E7" s="74">
        <f t="shared" si="6"/>
        <v>0.1</v>
      </c>
      <c r="F7" s="82">
        <f t="shared" si="1"/>
        <v>73.8</v>
      </c>
      <c r="G7" s="83">
        <f t="shared" si="2"/>
        <v>49.2</v>
      </c>
      <c r="H7" s="84">
        <f t="shared" si="3"/>
        <v>73.8</v>
      </c>
      <c r="I7" s="85">
        <f t="shared" si="4"/>
        <v>46.74</v>
      </c>
    </row>
    <row r="8" spans="2:9" x14ac:dyDescent="0.15">
      <c r="B8" s="71"/>
      <c r="C8" s="88">
        <f t="shared" si="5"/>
        <v>615</v>
      </c>
      <c r="D8" s="100">
        <f t="shared" si="0"/>
        <v>615</v>
      </c>
      <c r="E8" s="75">
        <f t="shared" si="6"/>
        <v>0.1</v>
      </c>
      <c r="F8" s="86">
        <f t="shared" si="1"/>
        <v>61.5</v>
      </c>
      <c r="G8" s="87">
        <f t="shared" si="2"/>
        <v>61.5</v>
      </c>
      <c r="H8" s="88">
        <f t="shared" si="3"/>
        <v>61.5</v>
      </c>
      <c r="I8" s="89">
        <f t="shared" si="4"/>
        <v>61.5</v>
      </c>
    </row>
    <row r="9" spans="2:9" x14ac:dyDescent="0.15">
      <c r="B9" s="71"/>
      <c r="C9" s="84">
        <f t="shared" si="5"/>
        <v>492</v>
      </c>
      <c r="D9" s="99">
        <f t="shared" si="0"/>
        <v>738</v>
      </c>
      <c r="E9" s="74">
        <f t="shared" si="6"/>
        <v>0.1</v>
      </c>
      <c r="F9" s="82">
        <f t="shared" si="1"/>
        <v>49.2</v>
      </c>
      <c r="G9" s="83">
        <f t="shared" si="2"/>
        <v>73.8</v>
      </c>
      <c r="H9" s="84">
        <f t="shared" si="3"/>
        <v>46.74</v>
      </c>
      <c r="I9" s="85">
        <f t="shared" si="4"/>
        <v>73.8</v>
      </c>
    </row>
    <row r="10" spans="2:9" x14ac:dyDescent="0.15">
      <c r="B10" s="71"/>
      <c r="C10" s="84">
        <f t="shared" si="5"/>
        <v>369</v>
      </c>
      <c r="D10" s="99">
        <f t="shared" si="0"/>
        <v>861</v>
      </c>
      <c r="E10" s="74">
        <f t="shared" si="6"/>
        <v>0.1</v>
      </c>
      <c r="F10" s="82">
        <f t="shared" si="1"/>
        <v>36.9</v>
      </c>
      <c r="G10" s="83">
        <f t="shared" si="2"/>
        <v>86.100000000000009</v>
      </c>
      <c r="H10" s="84">
        <f t="shared" si="3"/>
        <v>31.979999999999997</v>
      </c>
      <c r="I10" s="85">
        <f t="shared" si="4"/>
        <v>86.100000000000009</v>
      </c>
    </row>
    <row r="11" spans="2:9" x14ac:dyDescent="0.15">
      <c r="B11" s="71"/>
      <c r="C11" s="84">
        <f t="shared" si="5"/>
        <v>246</v>
      </c>
      <c r="D11" s="99">
        <f t="shared" si="0"/>
        <v>984</v>
      </c>
      <c r="E11" s="74">
        <f t="shared" si="6"/>
        <v>0.1</v>
      </c>
      <c r="F11" s="82">
        <f t="shared" si="1"/>
        <v>24.6</v>
      </c>
      <c r="G11" s="83">
        <f t="shared" si="2"/>
        <v>98.4</v>
      </c>
      <c r="H11" s="84">
        <f t="shared" si="3"/>
        <v>17.22</v>
      </c>
      <c r="I11" s="85">
        <f t="shared" si="4"/>
        <v>98.4</v>
      </c>
    </row>
    <row r="12" spans="2:9" x14ac:dyDescent="0.15">
      <c r="B12" s="71"/>
      <c r="C12" s="84">
        <f t="shared" si="5"/>
        <v>123</v>
      </c>
      <c r="D12" s="99">
        <f>D13-D$13/10</f>
        <v>1107</v>
      </c>
      <c r="E12" s="74">
        <f t="shared" si="6"/>
        <v>0.1</v>
      </c>
      <c r="F12" s="82">
        <f t="shared" si="1"/>
        <v>12.3</v>
      </c>
      <c r="G12" s="83">
        <f t="shared" si="2"/>
        <v>110.7</v>
      </c>
      <c r="H12" s="84">
        <f t="shared" si="3"/>
        <v>2.4600000000000009</v>
      </c>
      <c r="I12" s="85">
        <f t="shared" si="4"/>
        <v>110.7</v>
      </c>
    </row>
    <row r="13" spans="2:9" x14ac:dyDescent="0.15">
      <c r="B13" s="72"/>
      <c r="C13" s="92">
        <f t="shared" si="5"/>
        <v>0</v>
      </c>
      <c r="D13" s="101">
        <f>C3</f>
        <v>1230</v>
      </c>
      <c r="E13" s="76">
        <f t="shared" si="6"/>
        <v>0.1</v>
      </c>
      <c r="F13" s="90">
        <f t="shared" si="1"/>
        <v>0</v>
      </c>
      <c r="G13" s="91">
        <f t="shared" si="2"/>
        <v>123</v>
      </c>
      <c r="H13" s="92">
        <f t="shared" si="3"/>
        <v>0</v>
      </c>
      <c r="I13" s="93">
        <f t="shared" si="4"/>
        <v>123</v>
      </c>
    </row>
    <row r="14" spans="2:9" x14ac:dyDescent="0.15">
      <c r="B14" s="104" t="s">
        <v>38</v>
      </c>
      <c r="C14" s="94">
        <f t="shared" ref="C14:C22" si="7">C15-C$24/10</f>
        <v>0</v>
      </c>
      <c r="D14" s="102">
        <f t="shared" ref="D14:D22" si="8">C$24-C14</f>
        <v>1230</v>
      </c>
      <c r="E14" s="77">
        <f t="shared" si="6"/>
        <v>0.1</v>
      </c>
      <c r="F14" s="94">
        <f t="shared" si="1"/>
        <v>0</v>
      </c>
      <c r="G14" s="95">
        <f t="shared" si="2"/>
        <v>123</v>
      </c>
      <c r="H14" s="96">
        <f>MAX(F14-G14,0)/2</f>
        <v>0</v>
      </c>
      <c r="I14" s="97">
        <f>MAX(F14+G14,0)/2</f>
        <v>61.5</v>
      </c>
    </row>
    <row r="15" spans="2:9" x14ac:dyDescent="0.15">
      <c r="B15" s="105"/>
      <c r="C15" s="82">
        <f t="shared" si="7"/>
        <v>123</v>
      </c>
      <c r="D15" s="99">
        <f t="shared" si="8"/>
        <v>1107</v>
      </c>
      <c r="E15" s="74">
        <f t="shared" si="6"/>
        <v>0.1</v>
      </c>
      <c r="F15" s="82">
        <f t="shared" si="1"/>
        <v>12.3</v>
      </c>
      <c r="G15" s="83">
        <f t="shared" si="2"/>
        <v>110.7</v>
      </c>
      <c r="H15" s="84">
        <f t="shared" ref="H15:H55" si="9">MAX(F15-G15,0)/2</f>
        <v>0</v>
      </c>
      <c r="I15" s="85">
        <f t="shared" ref="I15:I55" si="10">MAX(F15+G15,0)/2</f>
        <v>61.5</v>
      </c>
    </row>
    <row r="16" spans="2:9" x14ac:dyDescent="0.15">
      <c r="B16" s="105"/>
      <c r="C16" s="82">
        <f t="shared" si="7"/>
        <v>246</v>
      </c>
      <c r="D16" s="99">
        <f t="shared" si="8"/>
        <v>984</v>
      </c>
      <c r="E16" s="74">
        <f t="shared" si="6"/>
        <v>0.1</v>
      </c>
      <c r="F16" s="82">
        <f t="shared" si="1"/>
        <v>24.6</v>
      </c>
      <c r="G16" s="83">
        <f t="shared" si="2"/>
        <v>98.4</v>
      </c>
      <c r="H16" s="84">
        <f t="shared" si="9"/>
        <v>0</v>
      </c>
      <c r="I16" s="85">
        <f t="shared" si="10"/>
        <v>61.5</v>
      </c>
    </row>
    <row r="17" spans="2:9" x14ac:dyDescent="0.15">
      <c r="B17" s="105"/>
      <c r="C17" s="82">
        <f t="shared" si="7"/>
        <v>369</v>
      </c>
      <c r="D17" s="99">
        <f t="shared" si="8"/>
        <v>861</v>
      </c>
      <c r="E17" s="74">
        <f t="shared" si="6"/>
        <v>0.1</v>
      </c>
      <c r="F17" s="82">
        <f t="shared" si="1"/>
        <v>36.9</v>
      </c>
      <c r="G17" s="83">
        <f t="shared" si="2"/>
        <v>86.100000000000009</v>
      </c>
      <c r="H17" s="84">
        <f t="shared" si="9"/>
        <v>0</v>
      </c>
      <c r="I17" s="85">
        <f t="shared" si="10"/>
        <v>61.5</v>
      </c>
    </row>
    <row r="18" spans="2:9" x14ac:dyDescent="0.15">
      <c r="B18" s="105"/>
      <c r="C18" s="82">
        <f t="shared" si="7"/>
        <v>492</v>
      </c>
      <c r="D18" s="99">
        <f t="shared" si="8"/>
        <v>738</v>
      </c>
      <c r="E18" s="74">
        <f t="shared" si="6"/>
        <v>0.1</v>
      </c>
      <c r="F18" s="82">
        <f t="shared" si="1"/>
        <v>49.2</v>
      </c>
      <c r="G18" s="83">
        <f t="shared" si="2"/>
        <v>73.8</v>
      </c>
      <c r="H18" s="84">
        <f t="shared" si="9"/>
        <v>0</v>
      </c>
      <c r="I18" s="85">
        <f t="shared" si="10"/>
        <v>61.5</v>
      </c>
    </row>
    <row r="19" spans="2:9" x14ac:dyDescent="0.15">
      <c r="B19" s="105"/>
      <c r="C19" s="82">
        <f t="shared" si="7"/>
        <v>615</v>
      </c>
      <c r="D19" s="99">
        <f t="shared" si="8"/>
        <v>615</v>
      </c>
      <c r="E19" s="74">
        <f t="shared" si="6"/>
        <v>0.1</v>
      </c>
      <c r="F19" s="82">
        <f t="shared" si="1"/>
        <v>61.5</v>
      </c>
      <c r="G19" s="83">
        <f t="shared" si="2"/>
        <v>61.5</v>
      </c>
      <c r="H19" s="84">
        <f t="shared" si="9"/>
        <v>0</v>
      </c>
      <c r="I19" s="85">
        <f t="shared" si="10"/>
        <v>61.5</v>
      </c>
    </row>
    <row r="20" spans="2:9" x14ac:dyDescent="0.15">
      <c r="B20" s="105"/>
      <c r="C20" s="82">
        <f t="shared" si="7"/>
        <v>738</v>
      </c>
      <c r="D20" s="99">
        <f t="shared" si="8"/>
        <v>492</v>
      </c>
      <c r="E20" s="74">
        <f t="shared" si="6"/>
        <v>0.1</v>
      </c>
      <c r="F20" s="82">
        <f t="shared" si="1"/>
        <v>73.8</v>
      </c>
      <c r="G20" s="83">
        <f t="shared" si="2"/>
        <v>49.2</v>
      </c>
      <c r="H20" s="84">
        <f t="shared" si="9"/>
        <v>12.299999999999997</v>
      </c>
      <c r="I20" s="85">
        <f t="shared" si="10"/>
        <v>61.5</v>
      </c>
    </row>
    <row r="21" spans="2:9" x14ac:dyDescent="0.15">
      <c r="B21" s="105"/>
      <c r="C21" s="82">
        <f t="shared" si="7"/>
        <v>861</v>
      </c>
      <c r="D21" s="99">
        <f t="shared" si="8"/>
        <v>369</v>
      </c>
      <c r="E21" s="74">
        <f t="shared" si="6"/>
        <v>0.1</v>
      </c>
      <c r="F21" s="82">
        <f t="shared" si="1"/>
        <v>86.100000000000009</v>
      </c>
      <c r="G21" s="83">
        <f t="shared" si="2"/>
        <v>36.9</v>
      </c>
      <c r="H21" s="84">
        <f t="shared" si="9"/>
        <v>24.600000000000005</v>
      </c>
      <c r="I21" s="85">
        <f t="shared" si="10"/>
        <v>61.5</v>
      </c>
    </row>
    <row r="22" spans="2:9" x14ac:dyDescent="0.15">
      <c r="B22" s="105"/>
      <c r="C22" s="82">
        <f t="shared" si="7"/>
        <v>984</v>
      </c>
      <c r="D22" s="99">
        <f t="shared" si="8"/>
        <v>246</v>
      </c>
      <c r="E22" s="74">
        <f t="shared" si="6"/>
        <v>0.1</v>
      </c>
      <c r="F22" s="82">
        <f t="shared" si="1"/>
        <v>98.4</v>
      </c>
      <c r="G22" s="83">
        <f t="shared" si="2"/>
        <v>24.6</v>
      </c>
      <c r="H22" s="84">
        <f t="shared" si="9"/>
        <v>36.900000000000006</v>
      </c>
      <c r="I22" s="85">
        <f t="shared" si="10"/>
        <v>61.5</v>
      </c>
    </row>
    <row r="23" spans="2:9" x14ac:dyDescent="0.15">
      <c r="B23" s="105"/>
      <c r="C23" s="82">
        <f>C24-C$24/10</f>
        <v>1107</v>
      </c>
      <c r="D23" s="99">
        <f>C$24-C23</f>
        <v>123</v>
      </c>
      <c r="E23" s="74">
        <f t="shared" si="6"/>
        <v>0.1</v>
      </c>
      <c r="F23" s="82">
        <f t="shared" si="1"/>
        <v>110.7</v>
      </c>
      <c r="G23" s="83">
        <f t="shared" si="2"/>
        <v>12.3</v>
      </c>
      <c r="H23" s="84">
        <f t="shared" si="9"/>
        <v>49.2</v>
      </c>
      <c r="I23" s="85">
        <f t="shared" si="10"/>
        <v>61.5</v>
      </c>
    </row>
    <row r="24" spans="2:9" x14ac:dyDescent="0.15">
      <c r="B24" s="105"/>
      <c r="C24" s="86">
        <f>C3</f>
        <v>1230</v>
      </c>
      <c r="D24" s="100">
        <f>C$24-C24</f>
        <v>0</v>
      </c>
      <c r="E24" s="75">
        <f t="shared" si="6"/>
        <v>0.1</v>
      </c>
      <c r="F24" s="86">
        <f t="shared" si="1"/>
        <v>123</v>
      </c>
      <c r="G24" s="87">
        <f t="shared" si="2"/>
        <v>0</v>
      </c>
      <c r="H24" s="88">
        <f t="shared" si="9"/>
        <v>61.5</v>
      </c>
      <c r="I24" s="89">
        <f t="shared" si="10"/>
        <v>61.5</v>
      </c>
    </row>
    <row r="25" spans="2:9" x14ac:dyDescent="0.15">
      <c r="B25" s="105"/>
      <c r="C25" s="82">
        <f>C24-C$3/10</f>
        <v>1107</v>
      </c>
      <c r="D25" s="99">
        <f>C25-C$24</f>
        <v>-123</v>
      </c>
      <c r="E25" s="74">
        <f t="shared" si="6"/>
        <v>0.1</v>
      </c>
      <c r="F25" s="82">
        <f t="shared" si="1"/>
        <v>110.7</v>
      </c>
      <c r="G25" s="83">
        <f t="shared" si="2"/>
        <v>-12.3</v>
      </c>
      <c r="H25" s="84">
        <f t="shared" si="9"/>
        <v>61.5</v>
      </c>
      <c r="I25" s="85">
        <f t="shared" si="10"/>
        <v>49.2</v>
      </c>
    </row>
    <row r="26" spans="2:9" x14ac:dyDescent="0.15">
      <c r="B26" s="105"/>
      <c r="C26" s="82">
        <f t="shared" ref="C26:C34" si="11">C25-C$3/10</f>
        <v>984</v>
      </c>
      <c r="D26" s="99">
        <f t="shared" ref="D26:D34" si="12">C26-C$24</f>
        <v>-246</v>
      </c>
      <c r="E26" s="74">
        <f t="shared" si="6"/>
        <v>0.1</v>
      </c>
      <c r="F26" s="82">
        <f t="shared" si="1"/>
        <v>98.4</v>
      </c>
      <c r="G26" s="83">
        <f t="shared" si="2"/>
        <v>-24.6</v>
      </c>
      <c r="H26" s="84">
        <f t="shared" si="9"/>
        <v>61.5</v>
      </c>
      <c r="I26" s="85">
        <f t="shared" si="10"/>
        <v>36.900000000000006</v>
      </c>
    </row>
    <row r="27" spans="2:9" x14ac:dyDescent="0.15">
      <c r="B27" s="105"/>
      <c r="C27" s="82">
        <f t="shared" si="11"/>
        <v>861</v>
      </c>
      <c r="D27" s="99">
        <f t="shared" si="12"/>
        <v>-369</v>
      </c>
      <c r="E27" s="74">
        <f t="shared" si="6"/>
        <v>0.1</v>
      </c>
      <c r="F27" s="82">
        <f t="shared" si="1"/>
        <v>86.100000000000009</v>
      </c>
      <c r="G27" s="83">
        <f t="shared" si="2"/>
        <v>-36.9</v>
      </c>
      <c r="H27" s="84">
        <f t="shared" si="9"/>
        <v>61.5</v>
      </c>
      <c r="I27" s="85">
        <f t="shared" si="10"/>
        <v>24.600000000000005</v>
      </c>
    </row>
    <row r="28" spans="2:9" x14ac:dyDescent="0.15">
      <c r="B28" s="105"/>
      <c r="C28" s="82">
        <f t="shared" si="11"/>
        <v>738</v>
      </c>
      <c r="D28" s="99">
        <f t="shared" si="12"/>
        <v>-492</v>
      </c>
      <c r="E28" s="74">
        <f t="shared" si="6"/>
        <v>0.1</v>
      </c>
      <c r="F28" s="82">
        <f t="shared" si="1"/>
        <v>73.8</v>
      </c>
      <c r="G28" s="83">
        <f t="shared" si="2"/>
        <v>-49.2</v>
      </c>
      <c r="H28" s="84">
        <f t="shared" si="9"/>
        <v>61.5</v>
      </c>
      <c r="I28" s="85">
        <f t="shared" si="10"/>
        <v>12.299999999999997</v>
      </c>
    </row>
    <row r="29" spans="2:9" x14ac:dyDescent="0.15">
      <c r="B29" s="105"/>
      <c r="C29" s="82">
        <f t="shared" si="11"/>
        <v>615</v>
      </c>
      <c r="D29" s="99">
        <f t="shared" si="12"/>
        <v>-615</v>
      </c>
      <c r="E29" s="74">
        <f t="shared" si="6"/>
        <v>0.1</v>
      </c>
      <c r="F29" s="82">
        <f t="shared" si="1"/>
        <v>61.5</v>
      </c>
      <c r="G29" s="83">
        <f t="shared" si="2"/>
        <v>-61.5</v>
      </c>
      <c r="H29" s="84">
        <f t="shared" si="9"/>
        <v>61.5</v>
      </c>
      <c r="I29" s="85">
        <f t="shared" si="10"/>
        <v>0</v>
      </c>
    </row>
    <row r="30" spans="2:9" x14ac:dyDescent="0.15">
      <c r="B30" s="105"/>
      <c r="C30" s="82">
        <f t="shared" si="11"/>
        <v>492</v>
      </c>
      <c r="D30" s="99">
        <f t="shared" si="12"/>
        <v>-738</v>
      </c>
      <c r="E30" s="74">
        <f t="shared" si="6"/>
        <v>0.1</v>
      </c>
      <c r="F30" s="82">
        <f t="shared" si="1"/>
        <v>49.2</v>
      </c>
      <c r="G30" s="83">
        <f t="shared" si="2"/>
        <v>-73.8</v>
      </c>
      <c r="H30" s="84">
        <f t="shared" si="9"/>
        <v>61.5</v>
      </c>
      <c r="I30" s="85">
        <f t="shared" si="10"/>
        <v>0</v>
      </c>
    </row>
    <row r="31" spans="2:9" x14ac:dyDescent="0.15">
      <c r="B31" s="105"/>
      <c r="C31" s="82">
        <f t="shared" si="11"/>
        <v>369</v>
      </c>
      <c r="D31" s="99">
        <f t="shared" si="12"/>
        <v>-861</v>
      </c>
      <c r="E31" s="74">
        <f t="shared" si="6"/>
        <v>0.1</v>
      </c>
      <c r="F31" s="82">
        <f t="shared" si="1"/>
        <v>36.9</v>
      </c>
      <c r="G31" s="83">
        <f t="shared" si="2"/>
        <v>-86.100000000000009</v>
      </c>
      <c r="H31" s="84">
        <f t="shared" si="9"/>
        <v>61.5</v>
      </c>
      <c r="I31" s="85">
        <f t="shared" si="10"/>
        <v>0</v>
      </c>
    </row>
    <row r="32" spans="2:9" x14ac:dyDescent="0.15">
      <c r="B32" s="105"/>
      <c r="C32" s="82">
        <f t="shared" si="11"/>
        <v>246</v>
      </c>
      <c r="D32" s="99">
        <f t="shared" si="12"/>
        <v>-984</v>
      </c>
      <c r="E32" s="74">
        <f t="shared" si="6"/>
        <v>0.1</v>
      </c>
      <c r="F32" s="82">
        <f t="shared" si="1"/>
        <v>24.6</v>
      </c>
      <c r="G32" s="83">
        <f t="shared" si="2"/>
        <v>-98.4</v>
      </c>
      <c r="H32" s="84">
        <f t="shared" si="9"/>
        <v>61.5</v>
      </c>
      <c r="I32" s="85">
        <f t="shared" si="10"/>
        <v>0</v>
      </c>
    </row>
    <row r="33" spans="2:9" x14ac:dyDescent="0.15">
      <c r="B33" s="105"/>
      <c r="C33" s="82">
        <f t="shared" si="11"/>
        <v>123</v>
      </c>
      <c r="D33" s="99">
        <f t="shared" si="12"/>
        <v>-1107</v>
      </c>
      <c r="E33" s="74">
        <f t="shared" si="6"/>
        <v>0.1</v>
      </c>
      <c r="F33" s="82">
        <f t="shared" si="1"/>
        <v>12.3</v>
      </c>
      <c r="G33" s="83">
        <f t="shared" si="2"/>
        <v>-110.7</v>
      </c>
      <c r="H33" s="84">
        <f t="shared" si="9"/>
        <v>61.5</v>
      </c>
      <c r="I33" s="85">
        <f t="shared" si="10"/>
        <v>0</v>
      </c>
    </row>
    <row r="34" spans="2:9" x14ac:dyDescent="0.15">
      <c r="B34" s="106"/>
      <c r="C34" s="90">
        <f t="shared" si="11"/>
        <v>0</v>
      </c>
      <c r="D34" s="101">
        <f t="shared" si="12"/>
        <v>-1230</v>
      </c>
      <c r="E34" s="76">
        <f t="shared" si="6"/>
        <v>0.1</v>
      </c>
      <c r="F34" s="90">
        <f t="shared" si="1"/>
        <v>0</v>
      </c>
      <c r="G34" s="91">
        <f t="shared" si="2"/>
        <v>-123</v>
      </c>
      <c r="H34" s="92">
        <f t="shared" si="9"/>
        <v>61.5</v>
      </c>
      <c r="I34" s="93">
        <f t="shared" si="10"/>
        <v>0</v>
      </c>
    </row>
    <row r="35" spans="2:9" x14ac:dyDescent="0.15">
      <c r="B35" s="104" t="s">
        <v>38</v>
      </c>
      <c r="C35" s="94">
        <f t="shared" ref="C35:C43" si="13">C36</f>
        <v>1230</v>
      </c>
      <c r="D35" s="102">
        <f>D14</f>
        <v>1230</v>
      </c>
      <c r="E35" s="77">
        <f t="shared" si="6"/>
        <v>0.1</v>
      </c>
      <c r="F35" s="94">
        <f t="shared" si="1"/>
        <v>123</v>
      </c>
      <c r="G35" s="95">
        <f t="shared" si="2"/>
        <v>123</v>
      </c>
      <c r="H35" s="96">
        <f t="shared" si="9"/>
        <v>0</v>
      </c>
      <c r="I35" s="97">
        <f t="shared" si="10"/>
        <v>123</v>
      </c>
    </row>
    <row r="36" spans="2:9" x14ac:dyDescent="0.15">
      <c r="B36" s="105"/>
      <c r="C36" s="82">
        <f t="shared" si="13"/>
        <v>1230</v>
      </c>
      <c r="D36" s="99">
        <f t="shared" ref="D36:D55" si="14">D15</f>
        <v>1107</v>
      </c>
      <c r="E36" s="74">
        <f t="shared" si="6"/>
        <v>0.1</v>
      </c>
      <c r="F36" s="82">
        <f t="shared" si="1"/>
        <v>123</v>
      </c>
      <c r="G36" s="83">
        <f t="shared" si="2"/>
        <v>110.7</v>
      </c>
      <c r="H36" s="84">
        <f t="shared" si="9"/>
        <v>6.1499999999999986</v>
      </c>
      <c r="I36" s="85">
        <f t="shared" si="10"/>
        <v>116.85</v>
      </c>
    </row>
    <row r="37" spans="2:9" x14ac:dyDescent="0.15">
      <c r="B37" s="105"/>
      <c r="C37" s="82">
        <f t="shared" si="13"/>
        <v>1230</v>
      </c>
      <c r="D37" s="99">
        <f t="shared" si="14"/>
        <v>984</v>
      </c>
      <c r="E37" s="74">
        <f t="shared" si="6"/>
        <v>0.1</v>
      </c>
      <c r="F37" s="82">
        <f t="shared" si="1"/>
        <v>123</v>
      </c>
      <c r="G37" s="83">
        <f t="shared" si="2"/>
        <v>98.4</v>
      </c>
      <c r="H37" s="84">
        <f t="shared" si="9"/>
        <v>12.299999999999997</v>
      </c>
      <c r="I37" s="85">
        <f t="shared" si="10"/>
        <v>110.7</v>
      </c>
    </row>
    <row r="38" spans="2:9" x14ac:dyDescent="0.15">
      <c r="B38" s="105"/>
      <c r="C38" s="82">
        <f t="shared" si="13"/>
        <v>1230</v>
      </c>
      <c r="D38" s="99">
        <f t="shared" si="14"/>
        <v>861</v>
      </c>
      <c r="E38" s="74">
        <f t="shared" si="6"/>
        <v>0.1</v>
      </c>
      <c r="F38" s="82">
        <f t="shared" si="1"/>
        <v>123</v>
      </c>
      <c r="G38" s="83">
        <f t="shared" si="2"/>
        <v>86.100000000000009</v>
      </c>
      <c r="H38" s="84">
        <f t="shared" si="9"/>
        <v>18.449999999999996</v>
      </c>
      <c r="I38" s="85">
        <f t="shared" si="10"/>
        <v>104.55000000000001</v>
      </c>
    </row>
    <row r="39" spans="2:9" x14ac:dyDescent="0.15">
      <c r="B39" s="105"/>
      <c r="C39" s="82">
        <f t="shared" si="13"/>
        <v>1230</v>
      </c>
      <c r="D39" s="99">
        <f t="shared" si="14"/>
        <v>738</v>
      </c>
      <c r="E39" s="74">
        <f t="shared" si="6"/>
        <v>0.1</v>
      </c>
      <c r="F39" s="82">
        <f t="shared" si="1"/>
        <v>123</v>
      </c>
      <c r="G39" s="83">
        <f t="shared" si="2"/>
        <v>73.8</v>
      </c>
      <c r="H39" s="84">
        <f t="shared" si="9"/>
        <v>24.6</v>
      </c>
      <c r="I39" s="85">
        <f t="shared" si="10"/>
        <v>98.4</v>
      </c>
    </row>
    <row r="40" spans="2:9" x14ac:dyDescent="0.15">
      <c r="B40" s="105"/>
      <c r="C40" s="82">
        <f t="shared" si="13"/>
        <v>1230</v>
      </c>
      <c r="D40" s="99">
        <f t="shared" si="14"/>
        <v>615</v>
      </c>
      <c r="E40" s="74">
        <f t="shared" si="6"/>
        <v>0.1</v>
      </c>
      <c r="F40" s="82">
        <f t="shared" si="1"/>
        <v>123</v>
      </c>
      <c r="G40" s="83">
        <f t="shared" si="2"/>
        <v>61.5</v>
      </c>
      <c r="H40" s="84">
        <f t="shared" si="9"/>
        <v>30.75</v>
      </c>
      <c r="I40" s="85">
        <f t="shared" si="10"/>
        <v>92.25</v>
      </c>
    </row>
    <row r="41" spans="2:9" x14ac:dyDescent="0.15">
      <c r="B41" s="105"/>
      <c r="C41" s="82">
        <f t="shared" si="13"/>
        <v>1230</v>
      </c>
      <c r="D41" s="99">
        <f t="shared" si="14"/>
        <v>492</v>
      </c>
      <c r="E41" s="74">
        <f t="shared" si="6"/>
        <v>0.1</v>
      </c>
      <c r="F41" s="82">
        <f t="shared" si="1"/>
        <v>123</v>
      </c>
      <c r="G41" s="83">
        <f t="shared" si="2"/>
        <v>49.2</v>
      </c>
      <c r="H41" s="84">
        <f t="shared" si="9"/>
        <v>36.9</v>
      </c>
      <c r="I41" s="85">
        <f t="shared" si="10"/>
        <v>86.1</v>
      </c>
    </row>
    <row r="42" spans="2:9" x14ac:dyDescent="0.15">
      <c r="B42" s="105"/>
      <c r="C42" s="82">
        <f t="shared" si="13"/>
        <v>1230</v>
      </c>
      <c r="D42" s="99">
        <f t="shared" si="14"/>
        <v>369</v>
      </c>
      <c r="E42" s="74">
        <f t="shared" si="6"/>
        <v>0.1</v>
      </c>
      <c r="F42" s="82">
        <f t="shared" si="1"/>
        <v>123</v>
      </c>
      <c r="G42" s="83">
        <f t="shared" si="2"/>
        <v>36.9</v>
      </c>
      <c r="H42" s="84">
        <f t="shared" si="9"/>
        <v>43.05</v>
      </c>
      <c r="I42" s="85">
        <f t="shared" si="10"/>
        <v>79.95</v>
      </c>
    </row>
    <row r="43" spans="2:9" x14ac:dyDescent="0.15">
      <c r="B43" s="105"/>
      <c r="C43" s="82">
        <f t="shared" si="13"/>
        <v>1230</v>
      </c>
      <c r="D43" s="99">
        <f t="shared" si="14"/>
        <v>246</v>
      </c>
      <c r="E43" s="74">
        <f t="shared" si="6"/>
        <v>0.1</v>
      </c>
      <c r="F43" s="82">
        <f t="shared" si="1"/>
        <v>123</v>
      </c>
      <c r="G43" s="83">
        <f t="shared" si="2"/>
        <v>24.6</v>
      </c>
      <c r="H43" s="84">
        <f t="shared" si="9"/>
        <v>49.2</v>
      </c>
      <c r="I43" s="85">
        <f t="shared" si="10"/>
        <v>73.8</v>
      </c>
    </row>
    <row r="44" spans="2:9" x14ac:dyDescent="0.15">
      <c r="B44" s="105"/>
      <c r="C44" s="82">
        <f>C45</f>
        <v>1230</v>
      </c>
      <c r="D44" s="99">
        <f t="shared" si="14"/>
        <v>123</v>
      </c>
      <c r="E44" s="74">
        <f t="shared" si="6"/>
        <v>0.1</v>
      </c>
      <c r="F44" s="82">
        <f t="shared" si="1"/>
        <v>123</v>
      </c>
      <c r="G44" s="83">
        <f t="shared" si="2"/>
        <v>12.3</v>
      </c>
      <c r="H44" s="84">
        <f t="shared" si="9"/>
        <v>55.35</v>
      </c>
      <c r="I44" s="85">
        <f t="shared" si="10"/>
        <v>67.650000000000006</v>
      </c>
    </row>
    <row r="45" spans="2:9" x14ac:dyDescent="0.15">
      <c r="B45" s="105"/>
      <c r="C45" s="86">
        <f>C24</f>
        <v>1230</v>
      </c>
      <c r="D45" s="100">
        <f t="shared" si="14"/>
        <v>0</v>
      </c>
      <c r="E45" s="75">
        <f t="shared" si="6"/>
        <v>0.1</v>
      </c>
      <c r="F45" s="86">
        <f t="shared" si="1"/>
        <v>123</v>
      </c>
      <c r="G45" s="87">
        <f t="shared" si="2"/>
        <v>0</v>
      </c>
      <c r="H45" s="88">
        <f t="shared" si="9"/>
        <v>61.5</v>
      </c>
      <c r="I45" s="89">
        <f t="shared" si="10"/>
        <v>61.5</v>
      </c>
    </row>
    <row r="46" spans="2:9" x14ac:dyDescent="0.15">
      <c r="B46" s="105"/>
      <c r="C46" s="82">
        <f>C45</f>
        <v>1230</v>
      </c>
      <c r="D46" s="99">
        <f t="shared" si="14"/>
        <v>-123</v>
      </c>
      <c r="E46" s="74">
        <f t="shared" si="6"/>
        <v>0.1</v>
      </c>
      <c r="F46" s="82">
        <f t="shared" si="1"/>
        <v>123</v>
      </c>
      <c r="G46" s="83">
        <f t="shared" si="2"/>
        <v>-12.3</v>
      </c>
      <c r="H46" s="84">
        <f t="shared" si="9"/>
        <v>67.650000000000006</v>
      </c>
      <c r="I46" s="85">
        <f t="shared" si="10"/>
        <v>55.35</v>
      </c>
    </row>
    <row r="47" spans="2:9" x14ac:dyDescent="0.15">
      <c r="B47" s="105"/>
      <c r="C47" s="82">
        <f t="shared" ref="C47:C55" si="15">C46</f>
        <v>1230</v>
      </c>
      <c r="D47" s="99">
        <f t="shared" si="14"/>
        <v>-246</v>
      </c>
      <c r="E47" s="74">
        <f t="shared" si="6"/>
        <v>0.1</v>
      </c>
      <c r="F47" s="82">
        <f t="shared" si="1"/>
        <v>123</v>
      </c>
      <c r="G47" s="83">
        <f t="shared" si="2"/>
        <v>-24.6</v>
      </c>
      <c r="H47" s="84">
        <f t="shared" si="9"/>
        <v>73.8</v>
      </c>
      <c r="I47" s="85">
        <f t="shared" si="10"/>
        <v>49.2</v>
      </c>
    </row>
    <row r="48" spans="2:9" x14ac:dyDescent="0.15">
      <c r="B48" s="105"/>
      <c r="C48" s="82">
        <f t="shared" si="15"/>
        <v>1230</v>
      </c>
      <c r="D48" s="99">
        <f t="shared" si="14"/>
        <v>-369</v>
      </c>
      <c r="E48" s="74">
        <f t="shared" si="6"/>
        <v>0.1</v>
      </c>
      <c r="F48" s="82">
        <f t="shared" si="1"/>
        <v>123</v>
      </c>
      <c r="G48" s="83">
        <f t="shared" si="2"/>
        <v>-36.9</v>
      </c>
      <c r="H48" s="84">
        <f t="shared" si="9"/>
        <v>79.95</v>
      </c>
      <c r="I48" s="85">
        <f t="shared" si="10"/>
        <v>43.05</v>
      </c>
    </row>
    <row r="49" spans="2:9" x14ac:dyDescent="0.15">
      <c r="B49" s="105"/>
      <c r="C49" s="82">
        <f t="shared" si="15"/>
        <v>1230</v>
      </c>
      <c r="D49" s="99">
        <f t="shared" si="14"/>
        <v>-492</v>
      </c>
      <c r="E49" s="74">
        <f t="shared" si="6"/>
        <v>0.1</v>
      </c>
      <c r="F49" s="82">
        <f t="shared" si="1"/>
        <v>123</v>
      </c>
      <c r="G49" s="83">
        <f t="shared" si="2"/>
        <v>-49.2</v>
      </c>
      <c r="H49" s="84">
        <f t="shared" si="9"/>
        <v>86.1</v>
      </c>
      <c r="I49" s="85">
        <f t="shared" si="10"/>
        <v>36.9</v>
      </c>
    </row>
    <row r="50" spans="2:9" x14ac:dyDescent="0.15">
      <c r="B50" s="105"/>
      <c r="C50" s="82">
        <f t="shared" si="15"/>
        <v>1230</v>
      </c>
      <c r="D50" s="99">
        <f t="shared" si="14"/>
        <v>-615</v>
      </c>
      <c r="E50" s="74">
        <f t="shared" si="6"/>
        <v>0.1</v>
      </c>
      <c r="F50" s="82">
        <f t="shared" si="1"/>
        <v>123</v>
      </c>
      <c r="G50" s="83">
        <f t="shared" si="2"/>
        <v>-61.5</v>
      </c>
      <c r="H50" s="84">
        <f t="shared" si="9"/>
        <v>92.25</v>
      </c>
      <c r="I50" s="85">
        <f t="shared" si="10"/>
        <v>30.75</v>
      </c>
    </row>
    <row r="51" spans="2:9" x14ac:dyDescent="0.15">
      <c r="B51" s="105"/>
      <c r="C51" s="82">
        <f t="shared" si="15"/>
        <v>1230</v>
      </c>
      <c r="D51" s="99">
        <f t="shared" si="14"/>
        <v>-738</v>
      </c>
      <c r="E51" s="74">
        <f t="shared" si="6"/>
        <v>0.1</v>
      </c>
      <c r="F51" s="82">
        <f t="shared" si="1"/>
        <v>123</v>
      </c>
      <c r="G51" s="83">
        <f t="shared" si="2"/>
        <v>-73.8</v>
      </c>
      <c r="H51" s="84">
        <f t="shared" si="9"/>
        <v>98.4</v>
      </c>
      <c r="I51" s="85">
        <f t="shared" si="10"/>
        <v>24.6</v>
      </c>
    </row>
    <row r="52" spans="2:9" x14ac:dyDescent="0.15">
      <c r="B52" s="105"/>
      <c r="C52" s="82">
        <f t="shared" si="15"/>
        <v>1230</v>
      </c>
      <c r="D52" s="99">
        <f t="shared" si="14"/>
        <v>-861</v>
      </c>
      <c r="E52" s="74">
        <f t="shared" si="6"/>
        <v>0.1</v>
      </c>
      <c r="F52" s="82">
        <f t="shared" si="1"/>
        <v>123</v>
      </c>
      <c r="G52" s="83">
        <f t="shared" si="2"/>
        <v>-86.100000000000009</v>
      </c>
      <c r="H52" s="84">
        <f t="shared" si="9"/>
        <v>104.55000000000001</v>
      </c>
      <c r="I52" s="85">
        <f t="shared" si="10"/>
        <v>18.449999999999996</v>
      </c>
    </row>
    <row r="53" spans="2:9" x14ac:dyDescent="0.15">
      <c r="B53" s="105"/>
      <c r="C53" s="82">
        <f t="shared" si="15"/>
        <v>1230</v>
      </c>
      <c r="D53" s="99">
        <f t="shared" si="14"/>
        <v>-984</v>
      </c>
      <c r="E53" s="74">
        <f t="shared" si="6"/>
        <v>0.1</v>
      </c>
      <c r="F53" s="82">
        <f t="shared" si="1"/>
        <v>123</v>
      </c>
      <c r="G53" s="83">
        <f t="shared" si="2"/>
        <v>-98.4</v>
      </c>
      <c r="H53" s="84">
        <f t="shared" si="9"/>
        <v>110.7</v>
      </c>
      <c r="I53" s="85">
        <f t="shared" si="10"/>
        <v>12.299999999999997</v>
      </c>
    </row>
    <row r="54" spans="2:9" x14ac:dyDescent="0.15">
      <c r="B54" s="105"/>
      <c r="C54" s="82">
        <f t="shared" si="15"/>
        <v>1230</v>
      </c>
      <c r="D54" s="99">
        <f t="shared" si="14"/>
        <v>-1107</v>
      </c>
      <c r="E54" s="74">
        <f t="shared" si="6"/>
        <v>0.1</v>
      </c>
      <c r="F54" s="82">
        <f t="shared" si="1"/>
        <v>123</v>
      </c>
      <c r="G54" s="83">
        <f t="shared" si="2"/>
        <v>-110.7</v>
      </c>
      <c r="H54" s="84">
        <f t="shared" si="9"/>
        <v>116.85</v>
      </c>
      <c r="I54" s="85">
        <f t="shared" si="10"/>
        <v>6.1499999999999986</v>
      </c>
    </row>
    <row r="55" spans="2:9" x14ac:dyDescent="0.15">
      <c r="B55" s="106"/>
      <c r="C55" s="90">
        <f t="shared" si="15"/>
        <v>1230</v>
      </c>
      <c r="D55" s="101">
        <f t="shared" si="14"/>
        <v>-1230</v>
      </c>
      <c r="E55" s="76">
        <f t="shared" si="6"/>
        <v>0.1</v>
      </c>
      <c r="F55" s="90">
        <f t="shared" si="1"/>
        <v>123</v>
      </c>
      <c r="G55" s="91">
        <f t="shared" si="2"/>
        <v>-123</v>
      </c>
      <c r="H55" s="92">
        <f t="shared" si="9"/>
        <v>123</v>
      </c>
      <c r="I55" s="93">
        <f t="shared" si="10"/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workbookViewId="0">
      <selection activeCell="B2" sqref="A1:XFD1048576"/>
    </sheetView>
  </sheetViews>
  <sheetFormatPr baseColWidth="12" defaultColWidth="12.85546875" defaultRowHeight="15" x14ac:dyDescent="0.15"/>
  <cols>
    <col min="1" max="1" width="2.85546875" style="27" customWidth="1"/>
    <col min="2" max="2" width="8.140625" style="27" bestFit="1" customWidth="1"/>
    <col min="3" max="5" width="12.85546875" style="27"/>
    <col min="6" max="6" width="19.85546875" style="27" customWidth="1"/>
    <col min="7" max="16384" width="12.85546875" style="27"/>
  </cols>
  <sheetData>
    <row r="2" spans="2:7" x14ac:dyDescent="0.15">
      <c r="B2" s="107" t="s">
        <v>48</v>
      </c>
      <c r="C2" s="108">
        <v>10990</v>
      </c>
    </row>
    <row r="3" spans="2:7" x14ac:dyDescent="0.15">
      <c r="B3" s="109" t="s">
        <v>49</v>
      </c>
      <c r="C3" s="110">
        <v>11035</v>
      </c>
    </row>
    <row r="4" spans="2:7" x14ac:dyDescent="0.15">
      <c r="B4" s="111" t="s">
        <v>50</v>
      </c>
      <c r="C4" s="112">
        <v>4</v>
      </c>
    </row>
    <row r="6" spans="2:7" x14ac:dyDescent="0.15">
      <c r="B6" s="113" t="s">
        <v>51</v>
      </c>
      <c r="C6" s="114" t="s">
        <v>43</v>
      </c>
      <c r="D6" s="114" t="s">
        <v>44</v>
      </c>
      <c r="E6" s="114" t="s">
        <v>45</v>
      </c>
      <c r="F6" s="114" t="s">
        <v>47</v>
      </c>
      <c r="G6" s="115" t="s">
        <v>46</v>
      </c>
    </row>
    <row r="7" spans="2:7" x14ac:dyDescent="0.15">
      <c r="B7" s="116">
        <v>1</v>
      </c>
      <c r="C7" s="117">
        <f>11000+B7</f>
        <v>11001</v>
      </c>
      <c r="D7" s="117">
        <f>1000+B7</f>
        <v>1001</v>
      </c>
      <c r="E7" s="117">
        <f>100+B7</f>
        <v>101</v>
      </c>
      <c r="F7" s="117">
        <f>D7*E7</f>
        <v>101101</v>
      </c>
      <c r="G7" s="118">
        <f t="shared" ref="G7:G26" si="0">VLOOKUP(C7+$C$4-1,C$29:C$40,1,TRUE)</f>
        <v>11002</v>
      </c>
    </row>
    <row r="8" spans="2:7" x14ac:dyDescent="0.15">
      <c r="B8" s="119">
        <f>B7+1</f>
        <v>2</v>
      </c>
      <c r="C8" s="120">
        <f t="shared" ref="C8:C26" si="1">11000+B8</f>
        <v>11002</v>
      </c>
      <c r="D8" s="120">
        <f t="shared" ref="D8:D26" si="2">1000+B8</f>
        <v>1002</v>
      </c>
      <c r="E8" s="120">
        <f t="shared" ref="E8:E26" si="3">100+B8</f>
        <v>102</v>
      </c>
      <c r="F8" s="120">
        <f t="shared" ref="F8:F26" si="4">D8*E8</f>
        <v>102204</v>
      </c>
      <c r="G8" s="110">
        <f t="shared" si="0"/>
        <v>11002</v>
      </c>
    </row>
    <row r="9" spans="2:7" x14ac:dyDescent="0.15">
      <c r="B9" s="119">
        <f t="shared" ref="B9:B26" si="5">B8+1</f>
        <v>3</v>
      </c>
      <c r="C9" s="120">
        <f t="shared" si="1"/>
        <v>11003</v>
      </c>
      <c r="D9" s="120">
        <f t="shared" si="2"/>
        <v>1003</v>
      </c>
      <c r="E9" s="120">
        <f t="shared" si="3"/>
        <v>103</v>
      </c>
      <c r="F9" s="120">
        <f t="shared" si="4"/>
        <v>103309</v>
      </c>
      <c r="G9" s="110">
        <f t="shared" si="0"/>
        <v>11006</v>
      </c>
    </row>
    <row r="10" spans="2:7" x14ac:dyDescent="0.15">
      <c r="B10" s="119">
        <f t="shared" si="5"/>
        <v>4</v>
      </c>
      <c r="C10" s="120">
        <f t="shared" si="1"/>
        <v>11004</v>
      </c>
      <c r="D10" s="120">
        <f t="shared" si="2"/>
        <v>1004</v>
      </c>
      <c r="E10" s="120">
        <f t="shared" si="3"/>
        <v>104</v>
      </c>
      <c r="F10" s="120">
        <f t="shared" si="4"/>
        <v>104416</v>
      </c>
      <c r="G10" s="110">
        <f t="shared" si="0"/>
        <v>11006</v>
      </c>
    </row>
    <row r="11" spans="2:7" x14ac:dyDescent="0.15">
      <c r="B11" s="119">
        <f t="shared" si="5"/>
        <v>5</v>
      </c>
      <c r="C11" s="120">
        <f t="shared" si="1"/>
        <v>11005</v>
      </c>
      <c r="D11" s="120">
        <f t="shared" si="2"/>
        <v>1005</v>
      </c>
      <c r="E11" s="120">
        <f t="shared" si="3"/>
        <v>105</v>
      </c>
      <c r="F11" s="120">
        <f t="shared" si="4"/>
        <v>105525</v>
      </c>
      <c r="G11" s="110">
        <f t="shared" si="0"/>
        <v>11006</v>
      </c>
    </row>
    <row r="12" spans="2:7" x14ac:dyDescent="0.15">
      <c r="B12" s="119">
        <f t="shared" si="5"/>
        <v>6</v>
      </c>
      <c r="C12" s="120">
        <f t="shared" si="1"/>
        <v>11006</v>
      </c>
      <c r="D12" s="120">
        <f t="shared" si="2"/>
        <v>1006</v>
      </c>
      <c r="E12" s="120">
        <f t="shared" si="3"/>
        <v>106</v>
      </c>
      <c r="F12" s="120">
        <f t="shared" si="4"/>
        <v>106636</v>
      </c>
      <c r="G12" s="110">
        <f t="shared" si="0"/>
        <v>11006</v>
      </c>
    </row>
    <row r="13" spans="2:7" x14ac:dyDescent="0.15">
      <c r="B13" s="119">
        <f t="shared" si="5"/>
        <v>7</v>
      </c>
      <c r="C13" s="120">
        <f t="shared" si="1"/>
        <v>11007</v>
      </c>
      <c r="D13" s="120">
        <f t="shared" si="2"/>
        <v>1007</v>
      </c>
      <c r="E13" s="120">
        <f t="shared" si="3"/>
        <v>107</v>
      </c>
      <c r="F13" s="120">
        <f t="shared" si="4"/>
        <v>107749</v>
      </c>
      <c r="G13" s="110">
        <f t="shared" si="0"/>
        <v>11010</v>
      </c>
    </row>
    <row r="14" spans="2:7" x14ac:dyDescent="0.15">
      <c r="B14" s="119">
        <f t="shared" si="5"/>
        <v>8</v>
      </c>
      <c r="C14" s="120">
        <f t="shared" si="1"/>
        <v>11008</v>
      </c>
      <c r="D14" s="120">
        <f t="shared" si="2"/>
        <v>1008</v>
      </c>
      <c r="E14" s="120">
        <f t="shared" si="3"/>
        <v>108</v>
      </c>
      <c r="F14" s="120">
        <f t="shared" si="4"/>
        <v>108864</v>
      </c>
      <c r="G14" s="110">
        <f t="shared" si="0"/>
        <v>11010</v>
      </c>
    </row>
    <row r="15" spans="2:7" x14ac:dyDescent="0.15">
      <c r="B15" s="119">
        <f t="shared" si="5"/>
        <v>9</v>
      </c>
      <c r="C15" s="120">
        <f t="shared" si="1"/>
        <v>11009</v>
      </c>
      <c r="D15" s="120">
        <f t="shared" si="2"/>
        <v>1009</v>
      </c>
      <c r="E15" s="120">
        <f t="shared" si="3"/>
        <v>109</v>
      </c>
      <c r="F15" s="120">
        <f t="shared" si="4"/>
        <v>109981</v>
      </c>
      <c r="G15" s="110">
        <f t="shared" si="0"/>
        <v>11010</v>
      </c>
    </row>
    <row r="16" spans="2:7" x14ac:dyDescent="0.15">
      <c r="B16" s="119">
        <f t="shared" si="5"/>
        <v>10</v>
      </c>
      <c r="C16" s="120">
        <f t="shared" si="1"/>
        <v>11010</v>
      </c>
      <c r="D16" s="120">
        <f t="shared" si="2"/>
        <v>1010</v>
      </c>
      <c r="E16" s="120">
        <f t="shared" si="3"/>
        <v>110</v>
      </c>
      <c r="F16" s="120">
        <f t="shared" si="4"/>
        <v>111100</v>
      </c>
      <c r="G16" s="110">
        <f t="shared" si="0"/>
        <v>11010</v>
      </c>
    </row>
    <row r="17" spans="2:7" x14ac:dyDescent="0.15">
      <c r="B17" s="119">
        <f t="shared" si="5"/>
        <v>11</v>
      </c>
      <c r="C17" s="120">
        <f t="shared" si="1"/>
        <v>11011</v>
      </c>
      <c r="D17" s="120">
        <f t="shared" si="2"/>
        <v>1011</v>
      </c>
      <c r="E17" s="120">
        <f t="shared" si="3"/>
        <v>111</v>
      </c>
      <c r="F17" s="120">
        <f t="shared" si="4"/>
        <v>112221</v>
      </c>
      <c r="G17" s="110">
        <f t="shared" si="0"/>
        <v>11014</v>
      </c>
    </row>
    <row r="18" spans="2:7" x14ac:dyDescent="0.15">
      <c r="B18" s="119">
        <f t="shared" si="5"/>
        <v>12</v>
      </c>
      <c r="C18" s="120">
        <f t="shared" si="1"/>
        <v>11012</v>
      </c>
      <c r="D18" s="120">
        <f t="shared" si="2"/>
        <v>1012</v>
      </c>
      <c r="E18" s="120">
        <f t="shared" si="3"/>
        <v>112</v>
      </c>
      <c r="F18" s="120">
        <f t="shared" si="4"/>
        <v>113344</v>
      </c>
      <c r="G18" s="110">
        <f t="shared" si="0"/>
        <v>11014</v>
      </c>
    </row>
    <row r="19" spans="2:7" x14ac:dyDescent="0.15">
      <c r="B19" s="119">
        <f t="shared" si="5"/>
        <v>13</v>
      </c>
      <c r="C19" s="120">
        <f t="shared" si="1"/>
        <v>11013</v>
      </c>
      <c r="D19" s="120">
        <f t="shared" si="2"/>
        <v>1013</v>
      </c>
      <c r="E19" s="120">
        <f t="shared" si="3"/>
        <v>113</v>
      </c>
      <c r="F19" s="120">
        <f t="shared" si="4"/>
        <v>114469</v>
      </c>
      <c r="G19" s="110">
        <f t="shared" si="0"/>
        <v>11014</v>
      </c>
    </row>
    <row r="20" spans="2:7" x14ac:dyDescent="0.15">
      <c r="B20" s="119">
        <f t="shared" si="5"/>
        <v>14</v>
      </c>
      <c r="C20" s="120">
        <f t="shared" si="1"/>
        <v>11014</v>
      </c>
      <c r="D20" s="120">
        <f t="shared" si="2"/>
        <v>1014</v>
      </c>
      <c r="E20" s="120">
        <f t="shared" si="3"/>
        <v>114</v>
      </c>
      <c r="F20" s="120">
        <f t="shared" si="4"/>
        <v>115596</v>
      </c>
      <c r="G20" s="110">
        <f t="shared" si="0"/>
        <v>11014</v>
      </c>
    </row>
    <row r="21" spans="2:7" x14ac:dyDescent="0.15">
      <c r="B21" s="119">
        <f t="shared" si="5"/>
        <v>15</v>
      </c>
      <c r="C21" s="120">
        <f t="shared" si="1"/>
        <v>11015</v>
      </c>
      <c r="D21" s="120">
        <f t="shared" si="2"/>
        <v>1015</v>
      </c>
      <c r="E21" s="120">
        <f t="shared" si="3"/>
        <v>115</v>
      </c>
      <c r="F21" s="120">
        <f t="shared" si="4"/>
        <v>116725</v>
      </c>
      <c r="G21" s="110">
        <f t="shared" si="0"/>
        <v>11018</v>
      </c>
    </row>
    <row r="22" spans="2:7" x14ac:dyDescent="0.15">
      <c r="B22" s="119">
        <f t="shared" si="5"/>
        <v>16</v>
      </c>
      <c r="C22" s="120">
        <f t="shared" si="1"/>
        <v>11016</v>
      </c>
      <c r="D22" s="120">
        <f t="shared" si="2"/>
        <v>1016</v>
      </c>
      <c r="E22" s="120">
        <f t="shared" si="3"/>
        <v>116</v>
      </c>
      <c r="F22" s="120">
        <f t="shared" si="4"/>
        <v>117856</v>
      </c>
      <c r="G22" s="110">
        <f t="shared" si="0"/>
        <v>11018</v>
      </c>
    </row>
    <row r="23" spans="2:7" x14ac:dyDescent="0.15">
      <c r="B23" s="119">
        <f t="shared" si="5"/>
        <v>17</v>
      </c>
      <c r="C23" s="120">
        <f t="shared" si="1"/>
        <v>11017</v>
      </c>
      <c r="D23" s="120">
        <f t="shared" si="2"/>
        <v>1017</v>
      </c>
      <c r="E23" s="120">
        <f t="shared" si="3"/>
        <v>117</v>
      </c>
      <c r="F23" s="120">
        <f t="shared" si="4"/>
        <v>118989</v>
      </c>
      <c r="G23" s="110">
        <f t="shared" si="0"/>
        <v>11018</v>
      </c>
    </row>
    <row r="24" spans="2:7" x14ac:dyDescent="0.15">
      <c r="B24" s="119">
        <f t="shared" si="5"/>
        <v>18</v>
      </c>
      <c r="C24" s="120">
        <f t="shared" si="1"/>
        <v>11018</v>
      </c>
      <c r="D24" s="120">
        <f t="shared" si="2"/>
        <v>1018</v>
      </c>
      <c r="E24" s="120">
        <f t="shared" si="3"/>
        <v>118</v>
      </c>
      <c r="F24" s="120">
        <f t="shared" si="4"/>
        <v>120124</v>
      </c>
      <c r="G24" s="110">
        <f t="shared" si="0"/>
        <v>11018</v>
      </c>
    </row>
    <row r="25" spans="2:7" x14ac:dyDescent="0.15">
      <c r="B25" s="119">
        <f t="shared" si="5"/>
        <v>19</v>
      </c>
      <c r="C25" s="120">
        <f t="shared" si="1"/>
        <v>11019</v>
      </c>
      <c r="D25" s="120">
        <f t="shared" si="2"/>
        <v>1019</v>
      </c>
      <c r="E25" s="120">
        <f t="shared" si="3"/>
        <v>119</v>
      </c>
      <c r="F25" s="120">
        <f t="shared" si="4"/>
        <v>121261</v>
      </c>
      <c r="G25" s="110">
        <f t="shared" si="0"/>
        <v>11022</v>
      </c>
    </row>
    <row r="26" spans="2:7" x14ac:dyDescent="0.15">
      <c r="B26" s="121">
        <f t="shared" si="5"/>
        <v>20</v>
      </c>
      <c r="C26" s="122">
        <f t="shared" si="1"/>
        <v>11020</v>
      </c>
      <c r="D26" s="122">
        <f t="shared" si="2"/>
        <v>1020</v>
      </c>
      <c r="E26" s="122">
        <f t="shared" si="3"/>
        <v>120</v>
      </c>
      <c r="F26" s="122">
        <f t="shared" si="4"/>
        <v>122400</v>
      </c>
      <c r="G26" s="112">
        <f t="shared" si="0"/>
        <v>11022</v>
      </c>
    </row>
    <row r="28" spans="2:7" x14ac:dyDescent="0.15">
      <c r="B28" s="113" t="s">
        <v>46</v>
      </c>
      <c r="C28" s="114" t="s">
        <v>43</v>
      </c>
      <c r="D28" s="114" t="s">
        <v>47</v>
      </c>
      <c r="E28" s="114" t="s">
        <v>45</v>
      </c>
      <c r="F28" s="114" t="s">
        <v>44</v>
      </c>
      <c r="G28" s="115" t="s">
        <v>19</v>
      </c>
    </row>
    <row r="29" spans="2:7" x14ac:dyDescent="0.15">
      <c r="B29" s="116">
        <v>1</v>
      </c>
      <c r="C29" s="117">
        <f>$C$2+$C$4*(B29-1)</f>
        <v>10990</v>
      </c>
      <c r="D29" s="117">
        <f t="shared" ref="D29:D40" si="6">SUMIFS(F$7:F$26,G$7:G$26,C$29:C$43)</f>
        <v>0</v>
      </c>
      <c r="E29" s="117">
        <f t="shared" ref="E29:E40" si="7">SUMIFS(E$7:E$26,G$7:G$26,C$29:C$43)</f>
        <v>0</v>
      </c>
      <c r="F29" s="123">
        <f>IFERROR(D29/E29,0)</f>
        <v>0</v>
      </c>
      <c r="G29" s="124" t="str">
        <f>IFERROR(LN(F29/F28),"-")</f>
        <v>-</v>
      </c>
    </row>
    <row r="30" spans="2:7" x14ac:dyDescent="0.15">
      <c r="B30" s="119">
        <f>B29+1</f>
        <v>2</v>
      </c>
      <c r="C30" s="120">
        <f t="shared" ref="C30:C40" si="8">$C$2+$C$4*(B30-1)</f>
        <v>10994</v>
      </c>
      <c r="D30" s="120">
        <f t="shared" si="6"/>
        <v>0</v>
      </c>
      <c r="E30" s="120">
        <f t="shared" si="7"/>
        <v>0</v>
      </c>
      <c r="F30" s="125">
        <f>IFERROR(D30/E30,F29)</f>
        <v>0</v>
      </c>
      <c r="G30" s="126" t="str">
        <f t="shared" ref="G30:G40" si="9">IFERROR(LN(F30/F29),"-")</f>
        <v>-</v>
      </c>
    </row>
    <row r="31" spans="2:7" x14ac:dyDescent="0.15">
      <c r="B31" s="119">
        <f t="shared" ref="B31:B40" si="10">B30+1</f>
        <v>3</v>
      </c>
      <c r="C31" s="120">
        <f t="shared" si="8"/>
        <v>10998</v>
      </c>
      <c r="D31" s="120">
        <f t="shared" si="6"/>
        <v>0</v>
      </c>
      <c r="E31" s="120">
        <f t="shared" si="7"/>
        <v>0</v>
      </c>
      <c r="F31" s="125">
        <f t="shared" ref="F31:F40" si="11">IFERROR(D31/E31,F30)</f>
        <v>0</v>
      </c>
      <c r="G31" s="126" t="str">
        <f t="shared" si="9"/>
        <v>-</v>
      </c>
    </row>
    <row r="32" spans="2:7" x14ac:dyDescent="0.15">
      <c r="B32" s="119">
        <f t="shared" si="10"/>
        <v>4</v>
      </c>
      <c r="C32" s="120">
        <f t="shared" si="8"/>
        <v>11002</v>
      </c>
      <c r="D32" s="120">
        <f t="shared" si="6"/>
        <v>203305</v>
      </c>
      <c r="E32" s="120">
        <f t="shared" si="7"/>
        <v>203</v>
      </c>
      <c r="F32" s="125">
        <f t="shared" si="11"/>
        <v>1001.5024630541872</v>
      </c>
      <c r="G32" s="126" t="str">
        <f t="shared" si="9"/>
        <v>-</v>
      </c>
    </row>
    <row r="33" spans="2:8" x14ac:dyDescent="0.15">
      <c r="B33" s="119">
        <f t="shared" si="10"/>
        <v>5</v>
      </c>
      <c r="C33" s="120">
        <f t="shared" si="8"/>
        <v>11006</v>
      </c>
      <c r="D33" s="120">
        <f t="shared" si="6"/>
        <v>419886</v>
      </c>
      <c r="E33" s="120">
        <f t="shared" si="7"/>
        <v>418</v>
      </c>
      <c r="F33" s="125">
        <f t="shared" si="11"/>
        <v>1004.5119617224881</v>
      </c>
      <c r="G33" s="126">
        <f t="shared" si="9"/>
        <v>3.0004778519763524E-3</v>
      </c>
      <c r="H33" s="127"/>
    </row>
    <row r="34" spans="2:8" x14ac:dyDescent="0.15">
      <c r="B34" s="119">
        <f t="shared" si="10"/>
        <v>6</v>
      </c>
      <c r="C34" s="120">
        <f t="shared" si="8"/>
        <v>11010</v>
      </c>
      <c r="D34" s="120">
        <f t="shared" si="6"/>
        <v>437694</v>
      </c>
      <c r="E34" s="120">
        <f t="shared" si="7"/>
        <v>434</v>
      </c>
      <c r="F34" s="125">
        <f t="shared" si="11"/>
        <v>1008.5115207373271</v>
      </c>
      <c r="G34" s="126">
        <f t="shared" si="9"/>
        <v>3.9736886454703711E-3</v>
      </c>
    </row>
    <row r="35" spans="2:8" x14ac:dyDescent="0.15">
      <c r="B35" s="119">
        <f t="shared" si="10"/>
        <v>7</v>
      </c>
      <c r="C35" s="120">
        <f t="shared" si="8"/>
        <v>11014</v>
      </c>
      <c r="D35" s="120">
        <f t="shared" si="6"/>
        <v>455630</v>
      </c>
      <c r="E35" s="120">
        <f t="shared" si="7"/>
        <v>450</v>
      </c>
      <c r="F35" s="125">
        <f t="shared" si="11"/>
        <v>1012.5111111111111</v>
      </c>
      <c r="G35" s="126">
        <f t="shared" si="9"/>
        <v>3.9579918919459937E-3</v>
      </c>
    </row>
    <row r="36" spans="2:8" x14ac:dyDescent="0.15">
      <c r="B36" s="119">
        <f t="shared" si="10"/>
        <v>8</v>
      </c>
      <c r="C36" s="120">
        <f t="shared" si="8"/>
        <v>11018</v>
      </c>
      <c r="D36" s="120">
        <f t="shared" si="6"/>
        <v>473694</v>
      </c>
      <c r="E36" s="120">
        <f t="shared" si="7"/>
        <v>466</v>
      </c>
      <c r="F36" s="125">
        <f t="shared" si="11"/>
        <v>1016.5107296137339</v>
      </c>
      <c r="G36" s="126">
        <f t="shared" si="9"/>
        <v>3.9424156041403527E-3</v>
      </c>
    </row>
    <row r="37" spans="2:8" x14ac:dyDescent="0.15">
      <c r="B37" s="119">
        <f t="shared" si="10"/>
        <v>9</v>
      </c>
      <c r="C37" s="120">
        <f t="shared" si="8"/>
        <v>11022</v>
      </c>
      <c r="D37" s="120">
        <f t="shared" si="6"/>
        <v>243661</v>
      </c>
      <c r="E37" s="120">
        <f t="shared" si="7"/>
        <v>239</v>
      </c>
      <c r="F37" s="125">
        <f t="shared" si="11"/>
        <v>1019.5020920502092</v>
      </c>
      <c r="G37" s="126">
        <f t="shared" si="9"/>
        <v>2.9384535863998459E-3</v>
      </c>
    </row>
    <row r="38" spans="2:8" x14ac:dyDescent="0.15">
      <c r="B38" s="119">
        <f t="shared" si="10"/>
        <v>10</v>
      </c>
      <c r="C38" s="120">
        <f t="shared" si="8"/>
        <v>11026</v>
      </c>
      <c r="D38" s="120">
        <f t="shared" si="6"/>
        <v>0</v>
      </c>
      <c r="E38" s="120">
        <f t="shared" si="7"/>
        <v>0</v>
      </c>
      <c r="F38" s="125">
        <f t="shared" si="11"/>
        <v>1019.5020920502092</v>
      </c>
      <c r="G38" s="126">
        <f t="shared" si="9"/>
        <v>0</v>
      </c>
    </row>
    <row r="39" spans="2:8" x14ac:dyDescent="0.15">
      <c r="B39" s="119">
        <f t="shared" si="10"/>
        <v>11</v>
      </c>
      <c r="C39" s="120">
        <f t="shared" si="8"/>
        <v>11030</v>
      </c>
      <c r="D39" s="120">
        <f t="shared" si="6"/>
        <v>0</v>
      </c>
      <c r="E39" s="120">
        <f t="shared" si="7"/>
        <v>0</v>
      </c>
      <c r="F39" s="125">
        <f t="shared" si="11"/>
        <v>1019.5020920502092</v>
      </c>
      <c r="G39" s="126">
        <f t="shared" si="9"/>
        <v>0</v>
      </c>
    </row>
    <row r="40" spans="2:8" x14ac:dyDescent="0.15">
      <c r="B40" s="121">
        <f t="shared" si="10"/>
        <v>12</v>
      </c>
      <c r="C40" s="122">
        <f t="shared" si="8"/>
        <v>11034</v>
      </c>
      <c r="D40" s="122">
        <f t="shared" si="6"/>
        <v>0</v>
      </c>
      <c r="E40" s="122">
        <f t="shared" si="7"/>
        <v>0</v>
      </c>
      <c r="F40" s="128">
        <f t="shared" si="11"/>
        <v>1019.5020920502092</v>
      </c>
      <c r="G40" s="129">
        <f t="shared" si="9"/>
        <v>0</v>
      </c>
    </row>
    <row r="41" spans="2:8" x14ac:dyDescent="0.15">
      <c r="B41" s="130"/>
      <c r="C41" s="130"/>
      <c r="D41" s="130"/>
      <c r="E41" s="130"/>
      <c r="F41" s="127"/>
      <c r="G41" s="127"/>
    </row>
    <row r="42" spans="2:8" x14ac:dyDescent="0.15">
      <c r="B42" s="130"/>
      <c r="C42" s="130"/>
      <c r="D42" s="130"/>
      <c r="E42" s="130"/>
      <c r="F42" s="127"/>
      <c r="G42" s="127"/>
    </row>
    <row r="43" spans="2:8" x14ac:dyDescent="0.15">
      <c r="B43" s="130"/>
      <c r="C43" s="130"/>
      <c r="D43" s="130"/>
      <c r="E43" s="130"/>
      <c r="F43" s="127"/>
      <c r="G43" s="127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2"/>
  <sheetViews>
    <sheetView workbookViewId="0"/>
  </sheetViews>
  <sheetFormatPr baseColWidth="12" defaultColWidth="10.7109375" defaultRowHeight="20" x14ac:dyDescent="0.3"/>
  <cols>
    <col min="1" max="1" width="2.85546875" customWidth="1"/>
    <col min="2" max="2" width="11.140625" bestFit="1" customWidth="1"/>
    <col min="3" max="3" width="14.42578125" bestFit="1" customWidth="1"/>
    <col min="4" max="4" width="14.42578125" customWidth="1"/>
    <col min="5" max="5" width="10.140625" bestFit="1" customWidth="1"/>
    <col min="6" max="6" width="12.140625" bestFit="1" customWidth="1"/>
    <col min="7" max="8" width="10.140625" customWidth="1"/>
    <col min="9" max="9" width="11.140625" bestFit="1" customWidth="1"/>
    <col min="10" max="10" width="12.140625" bestFit="1" customWidth="1"/>
    <col min="11" max="12" width="11.28515625" customWidth="1"/>
    <col min="13" max="13" width="2.85546875" customWidth="1"/>
    <col min="14" max="14" width="17.140625" bestFit="1" customWidth="1"/>
    <col min="15" max="15" width="20.140625" bestFit="1" customWidth="1"/>
    <col min="16" max="16" width="15.85546875" bestFit="1" customWidth="1"/>
    <col min="17" max="17" width="13.140625" bestFit="1" customWidth="1"/>
    <col min="18" max="18" width="23" customWidth="1"/>
    <col min="19" max="19" width="16" customWidth="1"/>
    <col min="20" max="20" width="19.140625" customWidth="1"/>
    <col min="21" max="22" width="13.140625" bestFit="1" customWidth="1"/>
  </cols>
  <sheetData>
    <row r="1" spans="2:22" s="2" customFormat="1" ht="15" x14ac:dyDescent="0.15">
      <c r="F1" s="2">
        <v>20</v>
      </c>
      <c r="I1" s="2">
        <f>F1</f>
        <v>20</v>
      </c>
    </row>
    <row r="2" spans="2:22" s="2" customFormat="1" ht="20" customHeight="1" x14ac:dyDescent="0.15">
      <c r="B2" s="131" t="s">
        <v>52</v>
      </c>
      <c r="C2" s="132" t="s">
        <v>53</v>
      </c>
      <c r="D2" s="132" t="s">
        <v>1</v>
      </c>
      <c r="E2" s="133" t="s">
        <v>81</v>
      </c>
      <c r="F2" s="132" t="s">
        <v>83</v>
      </c>
      <c r="G2" s="132" t="s">
        <v>84</v>
      </c>
      <c r="H2" s="133" t="s">
        <v>85</v>
      </c>
      <c r="I2" s="145" t="s">
        <v>82</v>
      </c>
      <c r="J2" s="132" t="s">
        <v>83</v>
      </c>
      <c r="K2" s="132" t="s">
        <v>84</v>
      </c>
      <c r="L2" s="133" t="s">
        <v>85</v>
      </c>
    </row>
    <row r="3" spans="2:22" s="2" customFormat="1" ht="20" customHeight="1" x14ac:dyDescent="0.15">
      <c r="B3" s="134">
        <v>42828</v>
      </c>
      <c r="C3" s="135">
        <f t="shared" ref="C3:C43" si="0">((B3-DATE(1970,1,1))*24-9)*60*60*1000</f>
        <v>1491145200000</v>
      </c>
      <c r="D3" s="136">
        <v>18983.23</v>
      </c>
      <c r="E3" s="152" t="s">
        <v>6</v>
      </c>
      <c r="F3" s="151" t="s">
        <v>6</v>
      </c>
      <c r="G3" s="151" t="s">
        <v>6</v>
      </c>
      <c r="H3" s="152" t="s">
        <v>6</v>
      </c>
      <c r="I3" s="153" t="s">
        <v>6</v>
      </c>
      <c r="J3" s="151" t="s">
        <v>6</v>
      </c>
      <c r="K3" s="151" t="s">
        <v>6</v>
      </c>
      <c r="L3" s="152" t="s">
        <v>6</v>
      </c>
    </row>
    <row r="4" spans="2:22" s="2" customFormat="1" x14ac:dyDescent="0.3">
      <c r="B4" s="137">
        <v>42829</v>
      </c>
      <c r="C4" s="138">
        <f t="shared" si="0"/>
        <v>1491231600000</v>
      </c>
      <c r="D4" s="139">
        <v>18810.25</v>
      </c>
      <c r="E4" s="140">
        <f>LN(D4/D3)</f>
        <v>-9.154023811506224E-3</v>
      </c>
      <c r="F4" s="150">
        <f>ROUND(O$21,F$1)*C4+ROUND(O$20,F$1)</f>
        <v>18480.143488383619</v>
      </c>
      <c r="G4" s="139">
        <f>D4-F4</f>
        <v>330.10651161638089</v>
      </c>
      <c r="H4" s="140">
        <f>G4/D4</f>
        <v>1.7549288904527099E-2</v>
      </c>
      <c r="I4" s="154">
        <f>ROUND(O$42,I$1)*C4+ROUND(O$41,I$1)</f>
        <v>1.9407047783298603E-4</v>
      </c>
      <c r="J4" s="139">
        <f>EXP(I4)*D3</f>
        <v>18986.91444202606</v>
      </c>
      <c r="K4" s="139">
        <f t="shared" ref="K4:K43" si="1">D4-J4</f>
        <v>-176.66444202605999</v>
      </c>
      <c r="L4" s="140">
        <f t="shared" ref="L4:L43" si="2">K4/D4</f>
        <v>-9.3919241916540185E-3</v>
      </c>
      <c r="N4" t="s">
        <v>54</v>
      </c>
      <c r="O4"/>
      <c r="P4"/>
      <c r="Q4"/>
      <c r="R4"/>
      <c r="S4"/>
      <c r="T4"/>
      <c r="U4"/>
      <c r="V4"/>
    </row>
    <row r="5" spans="2:22" s="2" customFormat="1" ht="21" thickBot="1" x14ac:dyDescent="0.35">
      <c r="B5" s="137">
        <v>42830</v>
      </c>
      <c r="C5" s="138">
        <f t="shared" si="0"/>
        <v>1491318000000</v>
      </c>
      <c r="D5" s="139">
        <v>18861.27</v>
      </c>
      <c r="E5" s="140">
        <f t="shared" ref="E5:E41" si="3">LN(D5/D4)</f>
        <v>2.7086791928880786E-3</v>
      </c>
      <c r="F5" s="139">
        <f t="shared" ref="F5:F42" si="4">ROUND(O$21,F$1)*C5+ROUND(O$20,F$1)</f>
        <v>18507.035311816901</v>
      </c>
      <c r="G5" s="139">
        <f t="shared" ref="G5:G42" si="5">D5-F5</f>
        <v>354.23468818309993</v>
      </c>
      <c r="H5" s="140">
        <f t="shared" ref="H5:H42" si="6">G5/D5</f>
        <v>1.878106236659037E-2</v>
      </c>
      <c r="I5" s="154">
        <f t="shared" ref="I5:I43" si="7">ROUND(O$42,I$1)*C5+ROUND(O$41,I$1)</f>
        <v>2.1862172471298624E-4</v>
      </c>
      <c r="J5" s="139">
        <f t="shared" ref="J5:J43" si="8">EXP(I5)*D4</f>
        <v>18814.362778852304</v>
      </c>
      <c r="K5" s="139">
        <f t="shared" si="1"/>
        <v>46.907221147695964</v>
      </c>
      <c r="L5" s="140">
        <f t="shared" si="2"/>
        <v>2.4869598466962174E-3</v>
      </c>
      <c r="N5"/>
      <c r="O5"/>
      <c r="P5"/>
      <c r="Q5"/>
      <c r="R5"/>
      <c r="S5"/>
      <c r="T5"/>
      <c r="U5"/>
      <c r="V5"/>
    </row>
    <row r="6" spans="2:22" s="2" customFormat="1" x14ac:dyDescent="0.3">
      <c r="B6" s="137">
        <v>42831</v>
      </c>
      <c r="C6" s="138">
        <f t="shared" si="0"/>
        <v>1491404400000</v>
      </c>
      <c r="D6" s="139">
        <v>18597.060000000001</v>
      </c>
      <c r="E6" s="140">
        <f t="shared" si="3"/>
        <v>-1.4107109510755167E-2</v>
      </c>
      <c r="F6" s="139">
        <f t="shared" si="4"/>
        <v>18533.92713525024</v>
      </c>
      <c r="G6" s="139">
        <f t="shared" si="5"/>
        <v>63.132864749761211</v>
      </c>
      <c r="H6" s="140">
        <f t="shared" si="6"/>
        <v>3.3947766340357674E-3</v>
      </c>
      <c r="I6" s="154">
        <f t="shared" si="7"/>
        <v>2.4317297159298645E-4</v>
      </c>
      <c r="J6" s="139">
        <f t="shared" si="8"/>
        <v>18865.857108781751</v>
      </c>
      <c r="K6" s="139">
        <f t="shared" si="1"/>
        <v>-268.79710878174956</v>
      </c>
      <c r="L6" s="140">
        <f t="shared" si="2"/>
        <v>-1.4453742085133324E-2</v>
      </c>
      <c r="N6" s="149" t="s">
        <v>55</v>
      </c>
      <c r="O6" s="149"/>
      <c r="P6"/>
      <c r="Q6"/>
      <c r="R6"/>
      <c r="S6"/>
      <c r="T6"/>
      <c r="U6"/>
      <c r="V6"/>
    </row>
    <row r="7" spans="2:22" s="2" customFormat="1" x14ac:dyDescent="0.3">
      <c r="B7" s="137">
        <v>42832</v>
      </c>
      <c r="C7" s="138">
        <f t="shared" si="0"/>
        <v>1491490800000</v>
      </c>
      <c r="D7" s="139">
        <v>18664.63</v>
      </c>
      <c r="E7" s="140">
        <f t="shared" si="3"/>
        <v>3.626785262050789E-3</v>
      </c>
      <c r="F7" s="139">
        <f t="shared" si="4"/>
        <v>18560.81895868358</v>
      </c>
      <c r="G7" s="139">
        <f t="shared" si="5"/>
        <v>103.81104131642132</v>
      </c>
      <c r="H7" s="140">
        <f t="shared" si="6"/>
        <v>5.5619126292040782E-3</v>
      </c>
      <c r="I7" s="154">
        <f t="shared" si="7"/>
        <v>2.6772421847298666E-4</v>
      </c>
      <c r="J7" s="139">
        <f t="shared" si="8"/>
        <v>18602.039549897705</v>
      </c>
      <c r="K7" s="139">
        <f t="shared" si="1"/>
        <v>62.590450102296018</v>
      </c>
      <c r="L7" s="140">
        <f t="shared" si="2"/>
        <v>3.3534257096066739E-3</v>
      </c>
      <c r="N7" s="146" t="s">
        <v>56</v>
      </c>
      <c r="O7" s="146">
        <v>0.85226110117365073</v>
      </c>
      <c r="P7"/>
      <c r="Q7"/>
      <c r="R7"/>
      <c r="S7"/>
      <c r="T7"/>
      <c r="U7"/>
      <c r="V7"/>
    </row>
    <row r="8" spans="2:22" s="2" customFormat="1" x14ac:dyDescent="0.3">
      <c r="B8" s="137">
        <v>42835</v>
      </c>
      <c r="C8" s="138">
        <f t="shared" si="0"/>
        <v>1491750000000</v>
      </c>
      <c r="D8" s="139">
        <v>18797.88</v>
      </c>
      <c r="E8" s="140">
        <f t="shared" si="3"/>
        <v>7.1138085483330579E-3</v>
      </c>
      <c r="F8" s="139">
        <f t="shared" si="4"/>
        <v>18641.49442898354</v>
      </c>
      <c r="G8" s="139">
        <f t="shared" si="5"/>
        <v>156.38557101646074</v>
      </c>
      <c r="H8" s="140">
        <f t="shared" si="6"/>
        <v>8.3193195730827483E-3</v>
      </c>
      <c r="I8" s="154">
        <f t="shared" si="7"/>
        <v>3.4137795911298729E-4</v>
      </c>
      <c r="J8" s="139">
        <f t="shared" si="8"/>
        <v>18671.002780998595</v>
      </c>
      <c r="K8" s="139">
        <f t="shared" si="1"/>
        <v>126.87721900140605</v>
      </c>
      <c r="L8" s="140">
        <f t="shared" si="2"/>
        <v>6.7495493641520233E-3</v>
      </c>
      <c r="N8" s="146" t="s">
        <v>57</v>
      </c>
      <c r="O8" s="146">
        <v>0.72634898457372365</v>
      </c>
      <c r="P8"/>
      <c r="Q8"/>
      <c r="R8"/>
      <c r="S8"/>
      <c r="T8"/>
      <c r="U8"/>
      <c r="V8"/>
    </row>
    <row r="9" spans="2:22" s="2" customFormat="1" x14ac:dyDescent="0.3">
      <c r="B9" s="137">
        <v>42836</v>
      </c>
      <c r="C9" s="138">
        <f t="shared" si="0"/>
        <v>1491836400000</v>
      </c>
      <c r="D9" s="139">
        <v>18747.87</v>
      </c>
      <c r="E9" s="140">
        <f t="shared" si="3"/>
        <v>-2.6639515564471322E-3</v>
      </c>
      <c r="F9" s="139">
        <f t="shared" si="4"/>
        <v>18668.386252416822</v>
      </c>
      <c r="G9" s="139">
        <f t="shared" si="5"/>
        <v>79.483747583177319</v>
      </c>
      <c r="H9" s="140">
        <f t="shared" si="6"/>
        <v>4.2396148246802079E-3</v>
      </c>
      <c r="I9" s="154">
        <f t="shared" si="7"/>
        <v>3.6592920599298751E-4</v>
      </c>
      <c r="J9" s="139">
        <f t="shared" si="8"/>
        <v>18804.759952013668</v>
      </c>
      <c r="K9" s="139">
        <f t="shared" si="1"/>
        <v>-56.889952013669244</v>
      </c>
      <c r="L9" s="140">
        <f t="shared" si="2"/>
        <v>-3.0344754904780783E-3</v>
      </c>
      <c r="N9" s="146" t="s">
        <v>58</v>
      </c>
      <c r="O9" s="146">
        <v>0.71895301118382426</v>
      </c>
      <c r="P9"/>
      <c r="Q9"/>
      <c r="R9"/>
      <c r="S9"/>
      <c r="T9"/>
      <c r="U9"/>
      <c r="V9"/>
    </row>
    <row r="10" spans="2:22" s="2" customFormat="1" x14ac:dyDescent="0.3">
      <c r="B10" s="137">
        <v>42837</v>
      </c>
      <c r="C10" s="138">
        <f t="shared" si="0"/>
        <v>1491922800000</v>
      </c>
      <c r="D10" s="139">
        <v>18552.61</v>
      </c>
      <c r="E10" s="140">
        <f t="shared" si="3"/>
        <v>-1.0469665998811911E-2</v>
      </c>
      <c r="F10" s="139">
        <f t="shared" si="4"/>
        <v>18695.278075850161</v>
      </c>
      <c r="G10" s="139">
        <f t="shared" si="5"/>
        <v>-142.66807585016068</v>
      </c>
      <c r="H10" s="140">
        <f t="shared" si="6"/>
        <v>-7.6899194156596117E-3</v>
      </c>
      <c r="I10" s="154">
        <f t="shared" si="7"/>
        <v>3.9048045287298772E-4</v>
      </c>
      <c r="J10" s="139">
        <f t="shared" si="8"/>
        <v>18755.192106244649</v>
      </c>
      <c r="K10" s="139">
        <f t="shared" si="1"/>
        <v>-202.58210624464846</v>
      </c>
      <c r="L10" s="140">
        <f t="shared" si="2"/>
        <v>-1.0919331902338725E-2</v>
      </c>
      <c r="N10" s="146" t="s">
        <v>59</v>
      </c>
      <c r="O10" s="146">
        <v>298.71438249668768</v>
      </c>
      <c r="P10"/>
      <c r="Q10"/>
      <c r="R10"/>
      <c r="S10"/>
      <c r="T10"/>
      <c r="U10"/>
      <c r="V10"/>
    </row>
    <row r="11" spans="2:22" s="2" customFormat="1" ht="21" thickBot="1" x14ac:dyDescent="0.35">
      <c r="B11" s="137">
        <v>42838</v>
      </c>
      <c r="C11" s="138">
        <f t="shared" si="0"/>
        <v>1492009200000</v>
      </c>
      <c r="D11" s="139">
        <v>18426.84</v>
      </c>
      <c r="E11" s="140">
        <f t="shared" si="3"/>
        <v>-6.8021825605578913E-3</v>
      </c>
      <c r="F11" s="139">
        <f t="shared" si="4"/>
        <v>18722.169899283501</v>
      </c>
      <c r="G11" s="139">
        <f t="shared" si="5"/>
        <v>-295.32989928350071</v>
      </c>
      <c r="H11" s="140">
        <f t="shared" si="6"/>
        <v>-1.6027159257013177E-2</v>
      </c>
      <c r="I11" s="154">
        <f t="shared" si="7"/>
        <v>4.1503169975298793E-4</v>
      </c>
      <c r="J11" s="139">
        <f t="shared" si="8"/>
        <v>18560.311519339935</v>
      </c>
      <c r="K11" s="139">
        <f t="shared" si="1"/>
        <v>-133.47151933993518</v>
      </c>
      <c r="L11" s="140">
        <f t="shared" si="2"/>
        <v>-7.2433211196241557E-3</v>
      </c>
      <c r="N11" s="147" t="s">
        <v>60</v>
      </c>
      <c r="O11" s="147">
        <v>39</v>
      </c>
      <c r="P11"/>
      <c r="Q11"/>
      <c r="R11"/>
      <c r="S11"/>
      <c r="T11"/>
      <c r="U11"/>
      <c r="V11"/>
    </row>
    <row r="12" spans="2:22" s="2" customFormat="1" x14ac:dyDescent="0.3">
      <c r="B12" s="137">
        <v>42839</v>
      </c>
      <c r="C12" s="138">
        <f t="shared" si="0"/>
        <v>1492095600000</v>
      </c>
      <c r="D12" s="139">
        <v>18335.63</v>
      </c>
      <c r="E12" s="140">
        <f t="shared" si="3"/>
        <v>-4.9621359584201266E-3</v>
      </c>
      <c r="F12" s="139">
        <f t="shared" si="4"/>
        <v>18749.061722716782</v>
      </c>
      <c r="G12" s="139">
        <f t="shared" si="5"/>
        <v>-413.43172271678122</v>
      </c>
      <c r="H12" s="140">
        <f t="shared" si="6"/>
        <v>-2.2547996590069782E-2</v>
      </c>
      <c r="I12" s="154">
        <f t="shared" si="7"/>
        <v>4.3958294663298814E-4</v>
      </c>
      <c r="J12" s="139">
        <f t="shared" si="8"/>
        <v>18434.941905223561</v>
      </c>
      <c r="K12" s="139">
        <f t="shared" si="1"/>
        <v>-99.311905223559734</v>
      </c>
      <c r="L12" s="140">
        <f t="shared" si="2"/>
        <v>-5.4163344932003825E-3</v>
      </c>
      <c r="N12"/>
      <c r="O12"/>
      <c r="P12"/>
      <c r="Q12"/>
      <c r="R12"/>
      <c r="S12"/>
      <c r="T12"/>
      <c r="U12"/>
      <c r="V12"/>
    </row>
    <row r="13" spans="2:22" s="2" customFormat="1" ht="21" thickBot="1" x14ac:dyDescent="0.35">
      <c r="B13" s="137">
        <v>42842</v>
      </c>
      <c r="C13" s="138">
        <f t="shared" si="0"/>
        <v>1492354800000</v>
      </c>
      <c r="D13" s="139">
        <v>18355.259999999998</v>
      </c>
      <c r="E13" s="140">
        <f t="shared" si="3"/>
        <v>1.070020480448149E-3</v>
      </c>
      <c r="F13" s="139">
        <f t="shared" si="4"/>
        <v>18829.737193016743</v>
      </c>
      <c r="G13" s="139">
        <f t="shared" si="5"/>
        <v>-474.47719301674442</v>
      </c>
      <c r="H13" s="140">
        <f t="shared" si="6"/>
        <v>-2.5849657973613258E-2</v>
      </c>
      <c r="I13" s="154">
        <f t="shared" si="7"/>
        <v>5.1323668727298877E-4</v>
      </c>
      <c r="J13" s="139">
        <f t="shared" si="8"/>
        <v>18345.042933324999</v>
      </c>
      <c r="K13" s="139">
        <f t="shared" si="1"/>
        <v>10.217066674998932</v>
      </c>
      <c r="L13" s="140">
        <f t="shared" si="2"/>
        <v>5.5662881784289257E-4</v>
      </c>
      <c r="N13" t="s">
        <v>61</v>
      </c>
      <c r="O13"/>
      <c r="P13"/>
      <c r="Q13"/>
      <c r="R13"/>
      <c r="S13"/>
      <c r="T13"/>
      <c r="U13"/>
      <c r="V13"/>
    </row>
    <row r="14" spans="2:22" s="2" customFormat="1" x14ac:dyDescent="0.3">
      <c r="B14" s="137">
        <v>42843</v>
      </c>
      <c r="C14" s="138">
        <f t="shared" si="0"/>
        <v>1492441200000</v>
      </c>
      <c r="D14" s="139">
        <v>18418.59</v>
      </c>
      <c r="E14" s="140">
        <f t="shared" si="3"/>
        <v>3.4442987398922214E-3</v>
      </c>
      <c r="F14" s="139">
        <f t="shared" si="4"/>
        <v>18856.629016450082</v>
      </c>
      <c r="G14" s="139">
        <f t="shared" si="5"/>
        <v>-438.03901645008227</v>
      </c>
      <c r="H14" s="140">
        <f t="shared" si="6"/>
        <v>-2.3782440265518821E-2</v>
      </c>
      <c r="I14" s="154">
        <f t="shared" si="7"/>
        <v>5.3778793415298898E-4</v>
      </c>
      <c r="J14" s="139">
        <f t="shared" si="8"/>
        <v>18365.133892148297</v>
      </c>
      <c r="K14" s="139">
        <f t="shared" si="1"/>
        <v>53.456107851703564</v>
      </c>
      <c r="L14" s="140">
        <f t="shared" si="2"/>
        <v>2.9022909925083061E-3</v>
      </c>
      <c r="N14" s="148"/>
      <c r="O14" s="148" t="s">
        <v>66</v>
      </c>
      <c r="P14" s="148" t="s">
        <v>67</v>
      </c>
      <c r="Q14" s="148" t="s">
        <v>68</v>
      </c>
      <c r="R14" s="148" t="s">
        <v>69</v>
      </c>
      <c r="S14" s="148" t="s">
        <v>70</v>
      </c>
      <c r="T14"/>
      <c r="U14"/>
      <c r="V14"/>
    </row>
    <row r="15" spans="2:22" s="2" customFormat="1" x14ac:dyDescent="0.3">
      <c r="B15" s="137">
        <v>42844</v>
      </c>
      <c r="C15" s="138">
        <f t="shared" si="0"/>
        <v>1492527600000</v>
      </c>
      <c r="D15" s="139">
        <v>18432.2</v>
      </c>
      <c r="E15" s="140">
        <f t="shared" si="3"/>
        <v>7.3865448305520949E-4</v>
      </c>
      <c r="F15" s="139">
        <f t="shared" si="4"/>
        <v>18883.520839883422</v>
      </c>
      <c r="G15" s="139">
        <f t="shared" si="5"/>
        <v>-451.32083988342129</v>
      </c>
      <c r="H15" s="140">
        <f t="shared" si="6"/>
        <v>-2.4485456965713331E-2</v>
      </c>
      <c r="I15" s="154">
        <f t="shared" si="7"/>
        <v>5.6233918103298919E-4</v>
      </c>
      <c r="J15" s="139">
        <f t="shared" si="8"/>
        <v>18428.950407574917</v>
      </c>
      <c r="K15" s="139">
        <f t="shared" si="1"/>
        <v>3.2495924250833923</v>
      </c>
      <c r="L15" s="140">
        <f t="shared" si="2"/>
        <v>1.7629975939298576E-4</v>
      </c>
      <c r="N15" s="146" t="s">
        <v>62</v>
      </c>
      <c r="O15" s="146">
        <v>1</v>
      </c>
      <c r="P15" s="146">
        <v>8763190.6623519212</v>
      </c>
      <c r="Q15" s="146">
        <v>8763190.6623519212</v>
      </c>
      <c r="R15" s="146">
        <v>98.208707127812886</v>
      </c>
      <c r="S15" s="146">
        <v>5.8664355807936979E-12</v>
      </c>
      <c r="T15"/>
      <c r="U15"/>
      <c r="V15"/>
    </row>
    <row r="16" spans="2:22" s="2" customFormat="1" x14ac:dyDescent="0.3">
      <c r="B16" s="137">
        <v>42845</v>
      </c>
      <c r="C16" s="138">
        <f t="shared" si="0"/>
        <v>1492614000000</v>
      </c>
      <c r="D16" s="139">
        <v>18430.490000000002</v>
      </c>
      <c r="E16" s="140">
        <f t="shared" si="3"/>
        <v>-9.277673448284143E-5</v>
      </c>
      <c r="F16" s="139">
        <f t="shared" si="4"/>
        <v>18910.412663316703</v>
      </c>
      <c r="G16" s="139">
        <f t="shared" si="5"/>
        <v>-479.9226633167018</v>
      </c>
      <c r="H16" s="140">
        <f t="shared" si="6"/>
        <v>-2.6039604118865085E-2</v>
      </c>
      <c r="I16" s="154">
        <f t="shared" si="7"/>
        <v>5.868904279129894E-4</v>
      </c>
      <c r="J16" s="139">
        <f t="shared" si="8"/>
        <v>18443.020856763411</v>
      </c>
      <c r="K16" s="139">
        <f t="shared" si="1"/>
        <v>-12.530856763409247</v>
      </c>
      <c r="L16" s="140">
        <f t="shared" si="2"/>
        <v>-6.7989818845886599E-4</v>
      </c>
      <c r="N16" s="146" t="s">
        <v>63</v>
      </c>
      <c r="O16" s="146">
        <v>37</v>
      </c>
      <c r="P16" s="146">
        <v>3301520.4454839653</v>
      </c>
      <c r="Q16" s="146">
        <v>89230.282310377443</v>
      </c>
      <c r="R16" s="146"/>
      <c r="S16" s="146"/>
      <c r="T16"/>
      <c r="U16"/>
      <c r="V16"/>
    </row>
    <row r="17" spans="2:22" s="2" customFormat="1" ht="21" thickBot="1" x14ac:dyDescent="0.35">
      <c r="B17" s="137">
        <v>42846</v>
      </c>
      <c r="C17" s="138">
        <f t="shared" si="0"/>
        <v>1492700400000</v>
      </c>
      <c r="D17" s="139">
        <v>18620.75</v>
      </c>
      <c r="E17" s="140">
        <f t="shared" si="3"/>
        <v>1.0270191892761531E-2</v>
      </c>
      <c r="F17" s="139">
        <f t="shared" si="4"/>
        <v>18937.304486750043</v>
      </c>
      <c r="G17" s="139">
        <f t="shared" si="5"/>
        <v>-316.554486750043</v>
      </c>
      <c r="H17" s="140">
        <f t="shared" si="6"/>
        <v>-1.7000093269607455E-2</v>
      </c>
      <c r="I17" s="154">
        <f t="shared" si="7"/>
        <v>6.1144167479298961E-4</v>
      </c>
      <c r="J17" s="139">
        <f t="shared" si="8"/>
        <v>18441.762615595137</v>
      </c>
      <c r="K17" s="139">
        <f t="shared" si="1"/>
        <v>178.98738440486341</v>
      </c>
      <c r="L17" s="140">
        <f t="shared" si="2"/>
        <v>9.6122543079555558E-3</v>
      </c>
      <c r="N17" s="147" t="s">
        <v>64</v>
      </c>
      <c r="O17" s="147">
        <v>38</v>
      </c>
      <c r="P17" s="147">
        <v>12064711.107835887</v>
      </c>
      <c r="Q17" s="147"/>
      <c r="R17" s="147"/>
      <c r="S17" s="147"/>
      <c r="T17"/>
      <c r="U17"/>
      <c r="V17"/>
    </row>
    <row r="18" spans="2:22" s="2" customFormat="1" ht="21" thickBot="1" x14ac:dyDescent="0.35">
      <c r="B18" s="137">
        <v>42849</v>
      </c>
      <c r="C18" s="138">
        <f t="shared" si="0"/>
        <v>1492959600000</v>
      </c>
      <c r="D18" s="139">
        <v>18875.88</v>
      </c>
      <c r="E18" s="140">
        <f t="shared" si="3"/>
        <v>1.3608366257513427E-2</v>
      </c>
      <c r="F18" s="139">
        <f t="shared" si="4"/>
        <v>19017.979957050004</v>
      </c>
      <c r="G18" s="139">
        <f t="shared" si="5"/>
        <v>-142.09995705000256</v>
      </c>
      <c r="H18" s="140">
        <f t="shared" si="6"/>
        <v>-7.5281235656299234E-3</v>
      </c>
      <c r="I18" s="154">
        <f t="shared" si="7"/>
        <v>6.8509541543299024E-4</v>
      </c>
      <c r="J18" s="139">
        <f t="shared" si="8"/>
        <v>18633.511361332861</v>
      </c>
      <c r="K18" s="139">
        <f t="shared" si="1"/>
        <v>242.36863866713975</v>
      </c>
      <c r="L18" s="140">
        <f t="shared" si="2"/>
        <v>1.2840123939500556E-2</v>
      </c>
      <c r="N18"/>
      <c r="O18"/>
      <c r="P18"/>
      <c r="Q18"/>
      <c r="R18"/>
      <c r="S18"/>
      <c r="T18"/>
      <c r="U18"/>
      <c r="V18"/>
    </row>
    <row r="19" spans="2:22" s="2" customFormat="1" x14ac:dyDescent="0.3">
      <c r="B19" s="137">
        <v>42850</v>
      </c>
      <c r="C19" s="138">
        <f t="shared" si="0"/>
        <v>1493046000000</v>
      </c>
      <c r="D19" s="139">
        <v>19079.330000000002</v>
      </c>
      <c r="E19" s="140">
        <f t="shared" si="3"/>
        <v>1.0720633534751653E-2</v>
      </c>
      <c r="F19" s="139">
        <f t="shared" si="4"/>
        <v>19044.871780483343</v>
      </c>
      <c r="G19" s="139">
        <f t="shared" si="5"/>
        <v>34.458219516658573</v>
      </c>
      <c r="H19" s="140">
        <f t="shared" si="6"/>
        <v>1.8060497678198642E-3</v>
      </c>
      <c r="I19" s="154">
        <f t="shared" si="7"/>
        <v>7.0964666231299045E-4</v>
      </c>
      <c r="J19" s="139">
        <f t="shared" si="8"/>
        <v>18889.279959296065</v>
      </c>
      <c r="K19" s="139">
        <f t="shared" si="1"/>
        <v>190.05004070393625</v>
      </c>
      <c r="L19" s="140">
        <f t="shared" si="2"/>
        <v>9.9610437423083634E-3</v>
      </c>
      <c r="N19" s="148"/>
      <c r="O19" s="148" t="s">
        <v>71</v>
      </c>
      <c r="P19" s="148" t="s">
        <v>59</v>
      </c>
      <c r="Q19" s="148" t="s">
        <v>72</v>
      </c>
      <c r="R19" s="148" t="s">
        <v>73</v>
      </c>
      <c r="S19" s="148" t="s">
        <v>74</v>
      </c>
      <c r="T19" s="148" t="s">
        <v>75</v>
      </c>
      <c r="U19" s="148" t="s">
        <v>76</v>
      </c>
      <c r="V19" s="148" t="s">
        <v>77</v>
      </c>
    </row>
    <row r="20" spans="2:22" s="2" customFormat="1" x14ac:dyDescent="0.3">
      <c r="B20" s="137">
        <v>42851</v>
      </c>
      <c r="C20" s="138">
        <f t="shared" si="0"/>
        <v>1493132400000</v>
      </c>
      <c r="D20" s="139">
        <v>19289.43</v>
      </c>
      <c r="E20" s="140">
        <f t="shared" si="3"/>
        <v>1.0951727392343551E-2</v>
      </c>
      <c r="F20" s="139">
        <f t="shared" si="4"/>
        <v>19071.763603916683</v>
      </c>
      <c r="G20" s="139">
        <f t="shared" si="5"/>
        <v>217.66639608331752</v>
      </c>
      <c r="H20" s="140">
        <f t="shared" si="6"/>
        <v>1.1284231627545112E-2</v>
      </c>
      <c r="I20" s="154">
        <f t="shared" si="7"/>
        <v>7.3419790919299066E-4</v>
      </c>
      <c r="J20" s="139">
        <f t="shared" si="8"/>
        <v>19093.343147777225</v>
      </c>
      <c r="K20" s="139">
        <f t="shared" si="1"/>
        <v>196.08685222277563</v>
      </c>
      <c r="L20" s="140">
        <f t="shared" si="2"/>
        <v>1.0165507857037539E-2</v>
      </c>
      <c r="N20" s="146" t="s">
        <v>65</v>
      </c>
      <c r="O20" s="146">
        <v>-445662.64453695237</v>
      </c>
      <c r="P20" s="146">
        <v>46912.14838204479</v>
      </c>
      <c r="Q20" s="146">
        <v>-9.4999410580719807</v>
      </c>
      <c r="R20" s="146">
        <v>1.8225828808305886E-11</v>
      </c>
      <c r="S20" s="146">
        <v>-540715.6860131548</v>
      </c>
      <c r="T20" s="146">
        <v>-350609.60306074994</v>
      </c>
      <c r="U20" s="146">
        <v>-540715.6860131548</v>
      </c>
      <c r="V20" s="146">
        <v>-350609.60306074994</v>
      </c>
    </row>
    <row r="21" spans="2:22" s="2" customFormat="1" ht="21" thickBot="1" x14ac:dyDescent="0.35">
      <c r="B21" s="137">
        <v>42852</v>
      </c>
      <c r="C21" s="138">
        <f t="shared" si="0"/>
        <v>1493218800000</v>
      </c>
      <c r="D21" s="139">
        <v>19251.87</v>
      </c>
      <c r="E21" s="140">
        <f t="shared" si="3"/>
        <v>-1.9490786190700124E-3</v>
      </c>
      <c r="F21" s="139">
        <f t="shared" si="4"/>
        <v>19098.655427349964</v>
      </c>
      <c r="G21" s="139">
        <f t="shared" si="5"/>
        <v>153.21457265003482</v>
      </c>
      <c r="H21" s="140">
        <f t="shared" si="6"/>
        <v>7.9584254750335853E-3</v>
      </c>
      <c r="I21" s="154">
        <f t="shared" si="7"/>
        <v>7.5874915607299087E-4</v>
      </c>
      <c r="J21" s="139">
        <f t="shared" si="8"/>
        <v>19304.07139260335</v>
      </c>
      <c r="K21" s="139">
        <f t="shared" si="1"/>
        <v>-52.201392603350541</v>
      </c>
      <c r="L21" s="140">
        <f t="shared" si="2"/>
        <v>-2.711497252129302E-3</v>
      </c>
      <c r="N21" s="147" t="s">
        <v>78</v>
      </c>
      <c r="O21" s="147">
        <v>3.1124795640417716E-7</v>
      </c>
      <c r="P21" s="147">
        <v>3.1407365724797641E-8</v>
      </c>
      <c r="Q21" s="147">
        <v>9.9100306320320204</v>
      </c>
      <c r="R21" s="147">
        <v>5.8664355807936341E-12</v>
      </c>
      <c r="S21" s="147">
        <v>2.4761058868899338E-7</v>
      </c>
      <c r="T21" s="147">
        <v>3.7488532411936094E-7</v>
      </c>
      <c r="U21" s="147">
        <v>2.4761058868899338E-7</v>
      </c>
      <c r="V21" s="147">
        <v>3.7488532411936094E-7</v>
      </c>
    </row>
    <row r="22" spans="2:22" s="2" customFormat="1" x14ac:dyDescent="0.3">
      <c r="B22" s="137">
        <v>42853</v>
      </c>
      <c r="C22" s="138">
        <f t="shared" si="0"/>
        <v>1493305200000</v>
      </c>
      <c r="D22" s="139">
        <v>19196.740000000002</v>
      </c>
      <c r="E22" s="140">
        <f t="shared" si="3"/>
        <v>-2.8677259220419062E-3</v>
      </c>
      <c r="F22" s="139">
        <f t="shared" si="4"/>
        <v>19125.547250783304</v>
      </c>
      <c r="G22" s="139">
        <f t="shared" si="5"/>
        <v>71.192749216697848</v>
      </c>
      <c r="H22" s="140">
        <f t="shared" si="6"/>
        <v>3.7085853752615206E-3</v>
      </c>
      <c r="I22" s="154">
        <f t="shared" si="7"/>
        <v>7.8330040295299108E-4</v>
      </c>
      <c r="J22" s="139">
        <f t="shared" si="8"/>
        <v>19266.95590515505</v>
      </c>
      <c r="K22" s="139">
        <f t="shared" si="1"/>
        <v>-70.215905155047949</v>
      </c>
      <c r="L22" s="140">
        <f t="shared" si="2"/>
        <v>-3.6576994403762276E-3</v>
      </c>
      <c r="N22"/>
      <c r="O22"/>
      <c r="P22"/>
      <c r="Q22"/>
      <c r="R22"/>
      <c r="S22"/>
      <c r="T22"/>
      <c r="U22"/>
      <c r="V22"/>
    </row>
    <row r="23" spans="2:22" s="2" customFormat="1" x14ac:dyDescent="0.3">
      <c r="B23" s="137">
        <v>42856</v>
      </c>
      <c r="C23" s="138">
        <f t="shared" si="0"/>
        <v>1493564400000</v>
      </c>
      <c r="D23" s="139">
        <v>19310.52</v>
      </c>
      <c r="E23" s="140">
        <f t="shared" si="3"/>
        <v>5.9095521793147291E-3</v>
      </c>
      <c r="F23" s="139">
        <f t="shared" si="4"/>
        <v>19206.222721083264</v>
      </c>
      <c r="G23" s="139">
        <f t="shared" si="5"/>
        <v>104.2972789167361</v>
      </c>
      <c r="H23" s="140">
        <f t="shared" si="6"/>
        <v>5.4010600914287188E-3</v>
      </c>
      <c r="I23" s="154">
        <f t="shared" si="7"/>
        <v>8.5695414359299171E-4</v>
      </c>
      <c r="J23" s="139">
        <f t="shared" si="8"/>
        <v>19213.197776659254</v>
      </c>
      <c r="K23" s="139">
        <f t="shared" si="1"/>
        <v>97.322223340746859</v>
      </c>
      <c r="L23" s="140">
        <f t="shared" si="2"/>
        <v>5.0398551328885424E-3</v>
      </c>
      <c r="N23"/>
      <c r="O23"/>
      <c r="P23"/>
      <c r="Q23"/>
      <c r="R23"/>
      <c r="S23"/>
      <c r="T23"/>
      <c r="U23"/>
      <c r="V23"/>
    </row>
    <row r="24" spans="2:22" s="2" customFormat="1" x14ac:dyDescent="0.3">
      <c r="B24" s="137">
        <v>42857</v>
      </c>
      <c r="C24" s="138">
        <f t="shared" si="0"/>
        <v>1493650800000</v>
      </c>
      <c r="D24" s="139">
        <v>19445.7</v>
      </c>
      <c r="E24" s="140">
        <f t="shared" si="3"/>
        <v>6.9759408010740178E-3</v>
      </c>
      <c r="F24" s="139">
        <f t="shared" si="4"/>
        <v>19233.114544516604</v>
      </c>
      <c r="G24" s="139">
        <f t="shared" si="5"/>
        <v>212.5854554833968</v>
      </c>
      <c r="H24" s="140">
        <f t="shared" si="6"/>
        <v>1.0932260370333636E-2</v>
      </c>
      <c r="I24" s="154">
        <f t="shared" si="7"/>
        <v>8.8150539047299192E-4</v>
      </c>
      <c r="J24" s="139">
        <f t="shared" si="8"/>
        <v>19327.549832314577</v>
      </c>
      <c r="K24" s="139">
        <f t="shared" si="1"/>
        <v>118.15016768542409</v>
      </c>
      <c r="L24" s="140">
        <f t="shared" si="2"/>
        <v>6.0759020084349804E-3</v>
      </c>
      <c r="N24"/>
      <c r="O24"/>
      <c r="P24"/>
      <c r="Q24"/>
      <c r="R24"/>
      <c r="S24"/>
      <c r="T24"/>
      <c r="U24"/>
      <c r="V24"/>
    </row>
    <row r="25" spans="2:22" s="2" customFormat="1" x14ac:dyDescent="0.3">
      <c r="B25" s="137">
        <v>42863</v>
      </c>
      <c r="C25" s="138">
        <f t="shared" si="0"/>
        <v>1494169200000</v>
      </c>
      <c r="D25" s="139">
        <v>19895.7</v>
      </c>
      <c r="E25" s="140">
        <f t="shared" si="3"/>
        <v>2.287766204848193E-2</v>
      </c>
      <c r="F25" s="139">
        <f t="shared" si="4"/>
        <v>19394.465485116525</v>
      </c>
      <c r="G25" s="139">
        <f t="shared" si="5"/>
        <v>501.23451488347564</v>
      </c>
      <c r="H25" s="140">
        <f t="shared" si="6"/>
        <v>2.5193107801357861E-2</v>
      </c>
      <c r="I25" s="154">
        <f t="shared" si="7"/>
        <v>1.0288128717529932E-3</v>
      </c>
      <c r="J25" s="139">
        <f t="shared" si="8"/>
        <v>19465.716281198591</v>
      </c>
      <c r="K25" s="139">
        <f t="shared" si="1"/>
        <v>429.98371880140985</v>
      </c>
      <c r="L25" s="140">
        <f t="shared" si="2"/>
        <v>2.1611891956624288E-2</v>
      </c>
      <c r="N25" t="s">
        <v>54</v>
      </c>
      <c r="O25"/>
      <c r="P25"/>
      <c r="Q25"/>
      <c r="R25"/>
      <c r="S25"/>
      <c r="T25"/>
      <c r="U25"/>
      <c r="V25"/>
    </row>
    <row r="26" spans="2:22" s="2" customFormat="1" ht="21" thickBot="1" x14ac:dyDescent="0.35">
      <c r="B26" s="137">
        <v>42864</v>
      </c>
      <c r="C26" s="138">
        <f t="shared" si="0"/>
        <v>1494255600000</v>
      </c>
      <c r="D26" s="139">
        <v>19843</v>
      </c>
      <c r="E26" s="140">
        <f t="shared" si="3"/>
        <v>-2.6523278765880304E-3</v>
      </c>
      <c r="F26" s="139">
        <f t="shared" si="4"/>
        <v>19421.357308549806</v>
      </c>
      <c r="G26" s="139">
        <f t="shared" si="5"/>
        <v>421.64269145019352</v>
      </c>
      <c r="H26" s="140">
        <f t="shared" si="6"/>
        <v>2.1248938741631484E-2</v>
      </c>
      <c r="I26" s="154">
        <f t="shared" si="7"/>
        <v>1.0533641186329934E-3</v>
      </c>
      <c r="J26" s="139">
        <f t="shared" si="8"/>
        <v>19916.668458267024</v>
      </c>
      <c r="K26" s="139">
        <f t="shared" si="1"/>
        <v>-73.668458267024107</v>
      </c>
      <c r="L26" s="140">
        <f t="shared" si="2"/>
        <v>-3.7125665608539085E-3</v>
      </c>
      <c r="N26"/>
      <c r="O26"/>
      <c r="P26"/>
      <c r="Q26"/>
      <c r="R26"/>
      <c r="S26"/>
      <c r="T26"/>
      <c r="U26"/>
      <c r="V26"/>
    </row>
    <row r="27" spans="2:22" s="2" customFormat="1" x14ac:dyDescent="0.3">
      <c r="B27" s="137">
        <v>42865</v>
      </c>
      <c r="C27" s="138">
        <f t="shared" si="0"/>
        <v>1494342000000</v>
      </c>
      <c r="D27" s="139">
        <v>19900.09</v>
      </c>
      <c r="E27" s="140">
        <f t="shared" si="3"/>
        <v>2.8729542301698715E-3</v>
      </c>
      <c r="F27" s="139">
        <f t="shared" si="4"/>
        <v>19448.249131983146</v>
      </c>
      <c r="G27" s="139">
        <f t="shared" si="5"/>
        <v>451.84086801685407</v>
      </c>
      <c r="H27" s="140">
        <f t="shared" si="6"/>
        <v>2.270546856907954E-2</v>
      </c>
      <c r="I27" s="154">
        <f t="shared" si="7"/>
        <v>1.0779153655129936E-3</v>
      </c>
      <c r="J27" s="139">
        <f t="shared" si="8"/>
        <v>19864.400606547071</v>
      </c>
      <c r="K27" s="139">
        <f t="shared" si="1"/>
        <v>35.689393452928925</v>
      </c>
      <c r="L27" s="140">
        <f t="shared" si="2"/>
        <v>1.7934287459468235E-3</v>
      </c>
      <c r="N27" s="149" t="s">
        <v>55</v>
      </c>
      <c r="O27" s="149"/>
      <c r="P27"/>
      <c r="Q27"/>
      <c r="R27"/>
      <c r="S27"/>
      <c r="T27"/>
      <c r="U27"/>
      <c r="V27"/>
    </row>
    <row r="28" spans="2:22" s="2" customFormat="1" x14ac:dyDescent="0.3">
      <c r="B28" s="137">
        <v>42866</v>
      </c>
      <c r="C28" s="138">
        <f t="shared" si="0"/>
        <v>1494428400000</v>
      </c>
      <c r="D28" s="139">
        <v>19961.55</v>
      </c>
      <c r="E28" s="140">
        <f t="shared" si="3"/>
        <v>3.0836688456364596E-3</v>
      </c>
      <c r="F28" s="139">
        <f t="shared" si="4"/>
        <v>19475.140955416486</v>
      </c>
      <c r="G28" s="139">
        <f t="shared" si="5"/>
        <v>486.40904458351361</v>
      </c>
      <c r="H28" s="140">
        <f t="shared" si="6"/>
        <v>2.4367298360273307E-2</v>
      </c>
      <c r="I28" s="154">
        <f t="shared" si="7"/>
        <v>1.1024666123929938E-3</v>
      </c>
      <c r="J28" s="139">
        <f t="shared" si="8"/>
        <v>19922.041282863484</v>
      </c>
      <c r="K28" s="139">
        <f t="shared" si="1"/>
        <v>39.50871713651577</v>
      </c>
      <c r="L28" s="140">
        <f t="shared" si="2"/>
        <v>1.9792409475474487E-3</v>
      </c>
      <c r="N28" s="146" t="s">
        <v>56</v>
      </c>
      <c r="O28" s="146">
        <v>5.964947893591447E-2</v>
      </c>
      <c r="P28"/>
      <c r="Q28"/>
      <c r="R28"/>
      <c r="S28"/>
      <c r="T28"/>
      <c r="U28"/>
      <c r="V28"/>
    </row>
    <row r="29" spans="2:22" s="2" customFormat="1" x14ac:dyDescent="0.3">
      <c r="B29" s="137">
        <v>42867</v>
      </c>
      <c r="C29" s="138">
        <f t="shared" si="0"/>
        <v>1494514800000</v>
      </c>
      <c r="D29" s="139">
        <v>19883.900000000001</v>
      </c>
      <c r="E29" s="140">
        <f t="shared" si="3"/>
        <v>-3.8975641283229227E-3</v>
      </c>
      <c r="F29" s="139">
        <f t="shared" si="4"/>
        <v>19502.032778849767</v>
      </c>
      <c r="G29" s="139">
        <f t="shared" si="5"/>
        <v>381.8672211502344</v>
      </c>
      <c r="H29" s="140">
        <f t="shared" si="6"/>
        <v>1.92048451838037E-2</v>
      </c>
      <c r="I29" s="154">
        <f t="shared" si="7"/>
        <v>1.127017859272994E-3</v>
      </c>
      <c r="J29" s="139">
        <f t="shared" si="8"/>
        <v>19984.059705386164</v>
      </c>
      <c r="K29" s="139">
        <f t="shared" si="1"/>
        <v>-100.15970538616239</v>
      </c>
      <c r="L29" s="140">
        <f t="shared" si="2"/>
        <v>-5.0372263683765451E-3</v>
      </c>
      <c r="N29" s="146" t="s">
        <v>57</v>
      </c>
      <c r="O29" s="146">
        <v>3.5580603373261042E-3</v>
      </c>
      <c r="P29"/>
      <c r="Q29"/>
      <c r="R29"/>
      <c r="S29"/>
      <c r="T29"/>
      <c r="U29"/>
      <c r="V29"/>
    </row>
    <row r="30" spans="2:22" s="2" customFormat="1" x14ac:dyDescent="0.3">
      <c r="B30" s="137">
        <v>42870</v>
      </c>
      <c r="C30" s="138">
        <f t="shared" si="0"/>
        <v>1494774000000</v>
      </c>
      <c r="D30" s="139">
        <v>19869.849999999999</v>
      </c>
      <c r="E30" s="140">
        <f t="shared" si="3"/>
        <v>-7.0685158431579777E-4</v>
      </c>
      <c r="F30" s="139">
        <f t="shared" si="4"/>
        <v>19582.708249149786</v>
      </c>
      <c r="G30" s="139">
        <f t="shared" si="5"/>
        <v>287.1417508502127</v>
      </c>
      <c r="H30" s="140">
        <f t="shared" si="6"/>
        <v>1.4451128259660375E-2</v>
      </c>
      <c r="I30" s="154">
        <f t="shared" si="7"/>
        <v>1.2006715999129947E-3</v>
      </c>
      <c r="J30" s="139">
        <f t="shared" si="8"/>
        <v>19907.788372200732</v>
      </c>
      <c r="K30" s="139">
        <f t="shared" si="1"/>
        <v>-37.938372200733284</v>
      </c>
      <c r="L30" s="140">
        <f t="shared" si="2"/>
        <v>-1.9093436639296868E-3</v>
      </c>
      <c r="N30" s="146" t="s">
        <v>58</v>
      </c>
      <c r="O30" s="146">
        <v>-2.3372802896800219E-2</v>
      </c>
      <c r="P30"/>
      <c r="Q30"/>
      <c r="R30"/>
      <c r="S30"/>
      <c r="T30"/>
      <c r="U30"/>
      <c r="V30"/>
    </row>
    <row r="31" spans="2:22" s="2" customFormat="1" x14ac:dyDescent="0.3">
      <c r="B31" s="137">
        <v>42871</v>
      </c>
      <c r="C31" s="138">
        <f t="shared" si="0"/>
        <v>1494860400000</v>
      </c>
      <c r="D31" s="139">
        <v>19919.82</v>
      </c>
      <c r="E31" s="140">
        <f t="shared" si="3"/>
        <v>2.5117085047648767E-3</v>
      </c>
      <c r="F31" s="139">
        <f t="shared" si="4"/>
        <v>19609.600072583067</v>
      </c>
      <c r="G31" s="139">
        <f t="shared" si="5"/>
        <v>310.21992741693248</v>
      </c>
      <c r="H31" s="140">
        <f t="shared" si="6"/>
        <v>1.5573430252729817E-2</v>
      </c>
      <c r="I31" s="154">
        <f t="shared" si="7"/>
        <v>1.2252228467929949E-3</v>
      </c>
      <c r="J31" s="139">
        <f t="shared" si="8"/>
        <v>19894.209914296753</v>
      </c>
      <c r="K31" s="139">
        <f t="shared" si="1"/>
        <v>25.610085703247023</v>
      </c>
      <c r="L31" s="140">
        <f t="shared" si="2"/>
        <v>1.2856584900489574E-3</v>
      </c>
      <c r="N31" s="146" t="s">
        <v>59</v>
      </c>
      <c r="O31" s="146">
        <v>7.4353755832804727E-3</v>
      </c>
      <c r="P31"/>
      <c r="Q31"/>
      <c r="R31"/>
      <c r="S31"/>
      <c r="T31"/>
      <c r="U31"/>
      <c r="V31"/>
    </row>
    <row r="32" spans="2:22" s="2" customFormat="1" ht="21" thickBot="1" x14ac:dyDescent="0.35">
      <c r="B32" s="137">
        <v>42872</v>
      </c>
      <c r="C32" s="138">
        <f t="shared" si="0"/>
        <v>1494946800000</v>
      </c>
      <c r="D32" s="139">
        <v>19814.88</v>
      </c>
      <c r="E32" s="140">
        <f t="shared" si="3"/>
        <v>-5.2820453651550277E-3</v>
      </c>
      <c r="F32" s="139">
        <f t="shared" si="4"/>
        <v>19636.491896016407</v>
      </c>
      <c r="G32" s="139">
        <f t="shared" si="5"/>
        <v>178.38810398359419</v>
      </c>
      <c r="H32" s="140">
        <f t="shared" si="6"/>
        <v>9.0027345098024399E-3</v>
      </c>
      <c r="I32" s="154">
        <f t="shared" si="7"/>
        <v>1.2497740936729951E-3</v>
      </c>
      <c r="J32" s="139">
        <f t="shared" si="8"/>
        <v>19944.730838204323</v>
      </c>
      <c r="K32" s="139">
        <f t="shared" si="1"/>
        <v>-129.85083820432192</v>
      </c>
      <c r="L32" s="140">
        <f t="shared" si="2"/>
        <v>-6.5531983138087087E-3</v>
      </c>
      <c r="N32" s="147" t="s">
        <v>60</v>
      </c>
      <c r="O32" s="147">
        <v>39</v>
      </c>
      <c r="P32"/>
      <c r="Q32"/>
      <c r="R32"/>
      <c r="S32"/>
      <c r="T32"/>
      <c r="U32"/>
      <c r="V32"/>
    </row>
    <row r="33" spans="2:22" s="2" customFormat="1" x14ac:dyDescent="0.3">
      <c r="B33" s="137">
        <v>42873</v>
      </c>
      <c r="C33" s="138">
        <f t="shared" si="0"/>
        <v>1495033200000</v>
      </c>
      <c r="D33" s="139">
        <v>19553.86</v>
      </c>
      <c r="E33" s="140">
        <f t="shared" si="3"/>
        <v>-1.3260461208471035E-2</v>
      </c>
      <c r="F33" s="139">
        <f t="shared" si="4"/>
        <v>19663.383719449746</v>
      </c>
      <c r="G33" s="139">
        <f t="shared" si="5"/>
        <v>-109.52371944974584</v>
      </c>
      <c r="H33" s="140">
        <f t="shared" si="6"/>
        <v>-5.6011303880536033E-3</v>
      </c>
      <c r="I33" s="154">
        <f t="shared" si="7"/>
        <v>1.2743253405529953E-3</v>
      </c>
      <c r="J33" s="139">
        <f t="shared" si="8"/>
        <v>19840.146699282373</v>
      </c>
      <c r="K33" s="139">
        <f t="shared" si="1"/>
        <v>-286.28669928237287</v>
      </c>
      <c r="L33" s="140">
        <f t="shared" si="2"/>
        <v>-1.4640930193955201E-2</v>
      </c>
      <c r="N33"/>
      <c r="O33"/>
      <c r="P33"/>
      <c r="Q33"/>
      <c r="R33"/>
      <c r="S33"/>
      <c r="T33"/>
      <c r="U33"/>
      <c r="V33"/>
    </row>
    <row r="34" spans="2:22" s="2" customFormat="1" ht="21" thickBot="1" x14ac:dyDescent="0.35">
      <c r="B34" s="137">
        <v>42874</v>
      </c>
      <c r="C34" s="138">
        <f t="shared" si="0"/>
        <v>1495119600000</v>
      </c>
      <c r="D34" s="139">
        <v>19590.759999999998</v>
      </c>
      <c r="E34" s="140">
        <f t="shared" si="3"/>
        <v>1.8853171102359556E-3</v>
      </c>
      <c r="F34" s="139">
        <f t="shared" si="4"/>
        <v>19690.275542883028</v>
      </c>
      <c r="G34" s="139">
        <f t="shared" si="5"/>
        <v>-99.515542883029411</v>
      </c>
      <c r="H34" s="140">
        <f t="shared" si="6"/>
        <v>-5.0797183408417754E-3</v>
      </c>
      <c r="I34" s="154">
        <f t="shared" si="7"/>
        <v>1.2988765874329955E-3</v>
      </c>
      <c r="J34" s="139">
        <f t="shared" si="8"/>
        <v>19579.27455255856</v>
      </c>
      <c r="K34" s="139">
        <f t="shared" si="1"/>
        <v>11.485447441438737</v>
      </c>
      <c r="L34" s="140">
        <f t="shared" si="2"/>
        <v>5.8626860016858652E-4</v>
      </c>
      <c r="N34" t="s">
        <v>61</v>
      </c>
      <c r="O34"/>
      <c r="P34"/>
      <c r="Q34"/>
      <c r="R34"/>
      <c r="S34"/>
      <c r="T34"/>
      <c r="U34"/>
      <c r="V34"/>
    </row>
    <row r="35" spans="2:22" s="2" customFormat="1" x14ac:dyDescent="0.3">
      <c r="B35" s="137">
        <v>42877</v>
      </c>
      <c r="C35" s="138">
        <f t="shared" si="0"/>
        <v>1495378800000</v>
      </c>
      <c r="D35" s="139">
        <v>19678.28</v>
      </c>
      <c r="E35" s="140">
        <f t="shared" si="3"/>
        <v>4.4574629230058147E-3</v>
      </c>
      <c r="F35" s="139">
        <f t="shared" si="4"/>
        <v>19770.951013182988</v>
      </c>
      <c r="G35" s="139">
        <f t="shared" si="5"/>
        <v>-92.671013182989554</v>
      </c>
      <c r="H35" s="140">
        <f t="shared" si="6"/>
        <v>-4.7093045318487977E-3</v>
      </c>
      <c r="I35" s="154">
        <f t="shared" si="7"/>
        <v>1.3725303280729961E-3</v>
      </c>
      <c r="J35" s="139">
        <f t="shared" si="8"/>
        <v>19617.667373619071</v>
      </c>
      <c r="K35" s="139">
        <f t="shared" si="1"/>
        <v>60.612626380927395</v>
      </c>
      <c r="L35" s="140">
        <f t="shared" si="2"/>
        <v>3.0801790797227906E-3</v>
      </c>
      <c r="N35" s="148"/>
      <c r="O35" s="148" t="s">
        <v>66</v>
      </c>
      <c r="P35" s="148" t="s">
        <v>67</v>
      </c>
      <c r="Q35" s="148" t="s">
        <v>68</v>
      </c>
      <c r="R35" s="148" t="s">
        <v>69</v>
      </c>
      <c r="S35" s="148" t="s">
        <v>70</v>
      </c>
      <c r="T35"/>
      <c r="U35"/>
      <c r="V35"/>
    </row>
    <row r="36" spans="2:22" s="2" customFormat="1" x14ac:dyDescent="0.3">
      <c r="B36" s="137">
        <v>42878</v>
      </c>
      <c r="C36" s="138">
        <f t="shared" si="0"/>
        <v>1495465200000</v>
      </c>
      <c r="D36" s="139">
        <v>19613.28</v>
      </c>
      <c r="E36" s="140">
        <f t="shared" si="3"/>
        <v>-3.3086016078464294E-3</v>
      </c>
      <c r="F36" s="139">
        <f t="shared" si="4"/>
        <v>19797.842836616328</v>
      </c>
      <c r="G36" s="139">
        <f t="shared" si="5"/>
        <v>-184.56283661632915</v>
      </c>
      <c r="H36" s="140">
        <f t="shared" si="6"/>
        <v>-9.410095436170246E-3</v>
      </c>
      <c r="I36" s="154">
        <f t="shared" si="7"/>
        <v>1.3970815749529963E-3</v>
      </c>
      <c r="J36" s="139">
        <f t="shared" si="8"/>
        <v>19705.791375758043</v>
      </c>
      <c r="K36" s="139">
        <f t="shared" si="1"/>
        <v>-92.511375758043869</v>
      </c>
      <c r="L36" s="140">
        <f t="shared" si="2"/>
        <v>-4.7167722970377149E-3</v>
      </c>
      <c r="N36" s="146" t="s">
        <v>62</v>
      </c>
      <c r="O36" s="146">
        <v>1</v>
      </c>
      <c r="P36" s="146">
        <v>7.3041360849376673E-6</v>
      </c>
      <c r="Q36" s="146">
        <v>7.3041360849376673E-6</v>
      </c>
      <c r="R36" s="146">
        <v>0.13211831742613406</v>
      </c>
      <c r="S36" s="146">
        <v>0.7183143624224344</v>
      </c>
      <c r="T36"/>
      <c r="U36"/>
      <c r="V36"/>
    </row>
    <row r="37" spans="2:22" s="2" customFormat="1" x14ac:dyDescent="0.3">
      <c r="B37" s="137">
        <v>42879</v>
      </c>
      <c r="C37" s="138">
        <f t="shared" si="0"/>
        <v>1495551600000</v>
      </c>
      <c r="D37" s="139">
        <v>19742.98</v>
      </c>
      <c r="E37" s="140">
        <f t="shared" si="3"/>
        <v>6.591097301489976E-3</v>
      </c>
      <c r="F37" s="139">
        <f t="shared" si="4"/>
        <v>19824.734660049668</v>
      </c>
      <c r="G37" s="139">
        <f t="shared" si="5"/>
        <v>-81.754660049668018</v>
      </c>
      <c r="H37" s="140">
        <f t="shared" si="6"/>
        <v>-4.1409483294653606E-3</v>
      </c>
      <c r="I37" s="154">
        <f t="shared" si="7"/>
        <v>1.4216328218329966E-3</v>
      </c>
      <c r="J37" s="139">
        <f t="shared" si="8"/>
        <v>19641.182711597736</v>
      </c>
      <c r="K37" s="139">
        <f t="shared" si="1"/>
        <v>101.7972884022638</v>
      </c>
      <c r="L37" s="140">
        <f t="shared" si="2"/>
        <v>5.1561257926748547E-3</v>
      </c>
      <c r="N37" s="146" t="s">
        <v>63</v>
      </c>
      <c r="O37" s="146">
        <v>37</v>
      </c>
      <c r="P37" s="146">
        <v>2.045537972384407E-3</v>
      </c>
      <c r="Q37" s="146">
        <v>5.5284810064443429E-5</v>
      </c>
      <c r="R37" s="146"/>
      <c r="S37" s="146"/>
      <c r="T37"/>
      <c r="U37"/>
      <c r="V37"/>
    </row>
    <row r="38" spans="2:22" s="2" customFormat="1" ht="21" thickBot="1" x14ac:dyDescent="0.35">
      <c r="B38" s="137">
        <v>42880</v>
      </c>
      <c r="C38" s="138">
        <f t="shared" si="0"/>
        <v>1495638000000</v>
      </c>
      <c r="D38" s="139">
        <v>19813.13</v>
      </c>
      <c r="E38" s="140">
        <f t="shared" si="3"/>
        <v>3.5468641148992323E-3</v>
      </c>
      <c r="F38" s="139">
        <f t="shared" si="4"/>
        <v>19851.626483482949</v>
      </c>
      <c r="G38" s="139">
        <f t="shared" si="5"/>
        <v>-38.496483482947951</v>
      </c>
      <c r="H38" s="140">
        <f t="shared" si="6"/>
        <v>-1.942978392760152E-3</v>
      </c>
      <c r="I38" s="154">
        <f t="shared" si="7"/>
        <v>1.4461840687129968E-3</v>
      </c>
      <c r="J38" s="139">
        <f t="shared" si="8"/>
        <v>19771.552638812595</v>
      </c>
      <c r="K38" s="139">
        <f t="shared" si="1"/>
        <v>41.577361187406495</v>
      </c>
      <c r="L38" s="140">
        <f t="shared" si="2"/>
        <v>2.09847516204691E-3</v>
      </c>
      <c r="N38" s="147" t="s">
        <v>64</v>
      </c>
      <c r="O38" s="147">
        <v>38</v>
      </c>
      <c r="P38" s="147">
        <v>2.0528421084693447E-3</v>
      </c>
      <c r="Q38" s="147"/>
      <c r="R38" s="147"/>
      <c r="S38" s="147"/>
      <c r="T38"/>
      <c r="U38"/>
      <c r="V38"/>
    </row>
    <row r="39" spans="2:22" s="2" customFormat="1" ht="21" thickBot="1" x14ac:dyDescent="0.35">
      <c r="B39" s="137">
        <v>42881</v>
      </c>
      <c r="C39" s="138">
        <f t="shared" si="0"/>
        <v>1495724400000</v>
      </c>
      <c r="D39" s="139">
        <v>19686.84</v>
      </c>
      <c r="E39" s="140">
        <f t="shared" si="3"/>
        <v>-6.3944570248132609E-3</v>
      </c>
      <c r="F39" s="139">
        <f t="shared" si="4"/>
        <v>19878.518306916289</v>
      </c>
      <c r="G39" s="139">
        <f t="shared" si="5"/>
        <v>-191.67830691628842</v>
      </c>
      <c r="H39" s="140">
        <f t="shared" si="6"/>
        <v>-9.7363673863498871E-3</v>
      </c>
      <c r="I39" s="154">
        <f t="shared" si="7"/>
        <v>1.470735315592997E-3</v>
      </c>
      <c r="J39" s="139">
        <f t="shared" si="8"/>
        <v>19842.291309030479</v>
      </c>
      <c r="K39" s="139">
        <f t="shared" si="1"/>
        <v>-155.45130903047902</v>
      </c>
      <c r="L39" s="140">
        <f t="shared" si="2"/>
        <v>-7.8962042171561823E-3</v>
      </c>
      <c r="N39"/>
      <c r="O39"/>
      <c r="P39"/>
      <c r="Q39"/>
      <c r="R39"/>
      <c r="S39"/>
      <c r="T39"/>
      <c r="U39"/>
      <c r="V39"/>
    </row>
    <row r="40" spans="2:22" s="2" customFormat="1" x14ac:dyDescent="0.3">
      <c r="B40" s="137">
        <v>42884</v>
      </c>
      <c r="C40" s="138">
        <f t="shared" si="0"/>
        <v>1495983600000</v>
      </c>
      <c r="D40" s="139">
        <v>19682.57</v>
      </c>
      <c r="E40" s="140">
        <f t="shared" si="3"/>
        <v>-2.169196854483735E-4</v>
      </c>
      <c r="F40" s="139">
        <f t="shared" si="4"/>
        <v>19959.193777216249</v>
      </c>
      <c r="G40" s="139">
        <f t="shared" si="5"/>
        <v>-276.62377721624944</v>
      </c>
      <c r="H40" s="140">
        <f t="shared" si="6"/>
        <v>-1.4054250904035878E-2</v>
      </c>
      <c r="I40" s="154">
        <f t="shared" si="7"/>
        <v>1.5443890562329976E-3</v>
      </c>
      <c r="J40" s="139">
        <f t="shared" si="8"/>
        <v>19717.267630249553</v>
      </c>
      <c r="K40" s="139">
        <f t="shared" si="1"/>
        <v>-34.697630249553185</v>
      </c>
      <c r="L40" s="140">
        <f t="shared" si="2"/>
        <v>-1.7628607569821007E-3</v>
      </c>
      <c r="N40" s="148"/>
      <c r="O40" s="148" t="s">
        <v>71</v>
      </c>
      <c r="P40" s="148" t="s">
        <v>59</v>
      </c>
      <c r="Q40" s="148" t="s">
        <v>72</v>
      </c>
      <c r="R40" s="148" t="s">
        <v>73</v>
      </c>
      <c r="S40" s="148" t="s">
        <v>74</v>
      </c>
      <c r="T40" s="148" t="s">
        <v>75</v>
      </c>
      <c r="U40" s="148" t="s">
        <v>76</v>
      </c>
      <c r="V40" s="148" t="s">
        <v>77</v>
      </c>
    </row>
    <row r="41" spans="2:22" s="2" customFormat="1" x14ac:dyDescent="0.3">
      <c r="B41" s="137">
        <v>42885</v>
      </c>
      <c r="C41" s="138">
        <f t="shared" si="0"/>
        <v>1496070000000</v>
      </c>
      <c r="D41" s="139">
        <v>19677.849999999999</v>
      </c>
      <c r="E41" s="140">
        <f t="shared" si="3"/>
        <v>-2.3983484031048856E-4</v>
      </c>
      <c r="F41" s="139">
        <f t="shared" si="4"/>
        <v>19986.085600649589</v>
      </c>
      <c r="G41" s="139">
        <f t="shared" si="5"/>
        <v>-308.2356006495902</v>
      </c>
      <c r="H41" s="140">
        <f t="shared" si="6"/>
        <v>-1.5664089351712214E-2</v>
      </c>
      <c r="I41" s="154">
        <f t="shared" si="7"/>
        <v>1.5689403031129978E-3</v>
      </c>
      <c r="J41" s="139">
        <f t="shared" si="8"/>
        <v>19713.475015064112</v>
      </c>
      <c r="K41" s="139">
        <f t="shared" si="1"/>
        <v>-35.625015064113541</v>
      </c>
      <c r="L41" s="140">
        <f t="shared" si="2"/>
        <v>-1.8104119639144288E-3</v>
      </c>
      <c r="N41" s="146" t="s">
        <v>65</v>
      </c>
      <c r="O41" s="146">
        <v>-0.42355124395338689</v>
      </c>
      <c r="P41" s="146">
        <v>1.1677022034349291</v>
      </c>
      <c r="Q41" s="146">
        <v>-0.3627219702998441</v>
      </c>
      <c r="R41" s="146">
        <v>0.71887647018709355</v>
      </c>
      <c r="S41" s="146">
        <v>-2.7895406476157261</v>
      </c>
      <c r="T41" s="146">
        <v>1.9424381597089522</v>
      </c>
      <c r="U41" s="146">
        <v>-2.7895406476157261</v>
      </c>
      <c r="V41" s="146">
        <v>1.9424381597089522</v>
      </c>
    </row>
    <row r="42" spans="2:22" s="2" customFormat="1" ht="21" thickBot="1" x14ac:dyDescent="0.35">
      <c r="B42" s="141">
        <v>42886</v>
      </c>
      <c r="C42" s="142">
        <f t="shared" si="0"/>
        <v>1496156400000</v>
      </c>
      <c r="D42" s="143">
        <v>19650.57</v>
      </c>
      <c r="E42" s="144">
        <f>LN(D42/D41)</f>
        <v>-1.3872921604890101E-3</v>
      </c>
      <c r="F42" s="143">
        <f t="shared" si="4"/>
        <v>20012.97742408287</v>
      </c>
      <c r="G42" s="143">
        <f t="shared" si="5"/>
        <v>-362.40742408287042</v>
      </c>
      <c r="H42" s="144">
        <f t="shared" si="6"/>
        <v>-1.8442590931605059E-2</v>
      </c>
      <c r="I42" s="155">
        <f t="shared" si="7"/>
        <v>1.593491549992998E-3</v>
      </c>
      <c r="J42" s="143">
        <f t="shared" si="8"/>
        <v>19709.231484121552</v>
      </c>
      <c r="K42" s="143">
        <f t="shared" si="1"/>
        <v>-58.661484121552348</v>
      </c>
      <c r="L42" s="144">
        <f t="shared" si="2"/>
        <v>-2.9852306636170018E-3</v>
      </c>
      <c r="N42" s="147" t="s">
        <v>78</v>
      </c>
      <c r="O42" s="147">
        <v>2.8415794688827361E-13</v>
      </c>
      <c r="P42" s="147">
        <v>7.817687193147115E-13</v>
      </c>
      <c r="Q42" s="147">
        <v>0.36348083501903589</v>
      </c>
      <c r="R42" s="147">
        <v>0.71831436242243285</v>
      </c>
      <c r="S42" s="147">
        <v>-1.2998559400191155E-12</v>
      </c>
      <c r="T42" s="147">
        <v>1.8681718337956626E-12</v>
      </c>
      <c r="U42" s="147">
        <v>-1.2998559400191155E-12</v>
      </c>
      <c r="V42" s="147">
        <v>1.8681718337956626E-12</v>
      </c>
    </row>
    <row r="43" spans="2:22" s="2" customFormat="1" x14ac:dyDescent="0.3">
      <c r="B43" s="169">
        <v>42887</v>
      </c>
      <c r="C43" s="170">
        <f t="shared" si="0"/>
        <v>1496242800000</v>
      </c>
      <c r="D43" s="143">
        <v>19860.03</v>
      </c>
      <c r="E43" s="144">
        <f>LN(D43/D42)</f>
        <v>1.0602823661759001E-2</v>
      </c>
      <c r="F43" s="143">
        <f t="shared" ref="F43" si="9">ROUND(O$21,F$1)*C43+ROUND(O$20,F$1)</f>
        <v>20039.86924751621</v>
      </c>
      <c r="G43" s="143">
        <f t="shared" ref="G43" si="10">D43-F43</f>
        <v>-179.83924751621089</v>
      </c>
      <c r="H43" s="144">
        <f t="shared" ref="H43" si="11">G43/D43</f>
        <v>-9.0553361458271166E-3</v>
      </c>
      <c r="I43" s="155">
        <f t="shared" si="7"/>
        <v>1.6180427968729982E-3</v>
      </c>
      <c r="J43" s="143">
        <f t="shared" si="8"/>
        <v>19682.391200332451</v>
      </c>
      <c r="K43" s="143">
        <f t="shared" si="1"/>
        <v>177.63879966754757</v>
      </c>
      <c r="L43" s="144">
        <f t="shared" si="2"/>
        <v>8.944538334914277E-3</v>
      </c>
      <c r="N43"/>
      <c r="O43"/>
      <c r="P43"/>
      <c r="Q43"/>
      <c r="R43"/>
      <c r="S43"/>
      <c r="T43"/>
      <c r="U43"/>
      <c r="V43"/>
    </row>
    <row r="44" spans="2:22" s="2" customFormat="1" x14ac:dyDescent="0.3">
      <c r="B44" s="156" t="s">
        <v>5</v>
      </c>
      <c r="C44" s="157"/>
      <c r="D44" s="157"/>
      <c r="E44" s="158"/>
      <c r="F44" s="168"/>
      <c r="G44" s="158">
        <f>SUM(G4:G42)</f>
        <v>-1.7999263945966959E-7</v>
      </c>
      <c r="H44" s="159">
        <f>SUM(H4:H42)</f>
        <v>-9.0483860966521779E-3</v>
      </c>
      <c r="I44" s="168"/>
      <c r="J44" s="158"/>
      <c r="K44" s="158">
        <f>SUM(K4:K42)</f>
        <v>-4.9884729815785249</v>
      </c>
      <c r="L44" s="159">
        <f>SUM(L4:L42)</f>
        <v>-1.0218589099192646E-3</v>
      </c>
      <c r="N44"/>
      <c r="O44"/>
      <c r="P44"/>
      <c r="Q44"/>
      <c r="R44"/>
      <c r="S44"/>
      <c r="T44"/>
      <c r="U44"/>
      <c r="V44"/>
    </row>
    <row r="45" spans="2:22" s="2" customFormat="1" x14ac:dyDescent="0.3">
      <c r="B45" s="160" t="s">
        <v>80</v>
      </c>
      <c r="C45" s="161"/>
      <c r="D45" s="161"/>
      <c r="E45" s="161"/>
      <c r="F45" s="160"/>
      <c r="G45" s="162">
        <f>AVERAGE(G4:G42)</f>
        <v>-4.6151958835812712E-9</v>
      </c>
      <c r="H45" s="163">
        <f>AVERAGE(H4:H42)</f>
        <v>-2.3200989991415842E-4</v>
      </c>
      <c r="I45" s="160"/>
      <c r="J45" s="161"/>
      <c r="K45" s="162">
        <f>AVERAGE(K4:K42)</f>
        <v>-0.12790956363021858</v>
      </c>
      <c r="L45" s="163">
        <f>AVERAGE(L4:L42)</f>
        <v>-2.6201510510750375E-5</v>
      </c>
      <c r="N45"/>
      <c r="O45"/>
      <c r="P45"/>
      <c r="Q45"/>
      <c r="R45"/>
      <c r="S45"/>
      <c r="T45"/>
      <c r="U45"/>
      <c r="V45"/>
    </row>
    <row r="46" spans="2:22" s="2" customFormat="1" x14ac:dyDescent="0.3">
      <c r="B46" s="164" t="s">
        <v>79</v>
      </c>
      <c r="C46" s="165"/>
      <c r="D46" s="165"/>
      <c r="E46" s="165"/>
      <c r="F46" s="164"/>
      <c r="G46" s="166">
        <f>STDEV(G4:G42)</f>
        <v>294.75772591472077</v>
      </c>
      <c r="H46" s="167">
        <f>STDEV(H4:H42)</f>
        <v>1.5380710022893035E-2</v>
      </c>
      <c r="I46" s="164"/>
      <c r="J46" s="165"/>
      <c r="K46" s="166">
        <f>STDEV(K4:K42)</f>
        <v>141.03244926643609</v>
      </c>
      <c r="L46" s="167">
        <f>STDEV(L4:L42)</f>
        <v>7.3253328546415385E-3</v>
      </c>
      <c r="N46"/>
      <c r="O46"/>
      <c r="P46"/>
      <c r="Q46"/>
      <c r="R46"/>
      <c r="S46"/>
      <c r="T46"/>
      <c r="U46"/>
      <c r="V46"/>
    </row>
    <row r="47" spans="2:22" s="2" customFormat="1" ht="15" x14ac:dyDescent="0.15"/>
    <row r="48" spans="2:22" s="2" customFormat="1" ht="15" x14ac:dyDescent="0.15"/>
    <row r="49" s="2" customFormat="1" ht="15" x14ac:dyDescent="0.15"/>
    <row r="50" s="2" customFormat="1" ht="15" x14ac:dyDescent="0.15"/>
    <row r="51" s="2" customFormat="1" ht="15" x14ac:dyDescent="0.15"/>
    <row r="52" s="2" customFormat="1" ht="15" x14ac:dyDescent="0.15"/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workbookViewId="0"/>
  </sheetViews>
  <sheetFormatPr baseColWidth="12" defaultColWidth="12.85546875" defaultRowHeight="15" x14ac:dyDescent="0.15"/>
  <cols>
    <col min="1" max="1" width="2.85546875" style="171" customWidth="1"/>
    <col min="2" max="8" width="10.7109375" style="171" customWidth="1"/>
    <col min="9" max="16384" width="12.85546875" style="171"/>
  </cols>
  <sheetData>
    <row r="2" spans="2:8" x14ac:dyDescent="0.15">
      <c r="B2" s="172" t="s">
        <v>86</v>
      </c>
      <c r="C2" s="173">
        <v>0.06</v>
      </c>
    </row>
    <row r="3" spans="2:8" x14ac:dyDescent="0.15">
      <c r="B3" s="176" t="s">
        <v>87</v>
      </c>
      <c r="C3" s="196">
        <v>5</v>
      </c>
    </row>
    <row r="4" spans="2:8" x14ac:dyDescent="0.15">
      <c r="B4" s="179" t="s">
        <v>88</v>
      </c>
      <c r="C4" s="180">
        <f>C2/MAX(C3-1,1)</f>
        <v>1.4999999999999999E-2</v>
      </c>
    </row>
    <row r="5" spans="2:8" x14ac:dyDescent="0.15">
      <c r="B5" s="179" t="s">
        <v>44</v>
      </c>
      <c r="C5" s="183">
        <v>1.002</v>
      </c>
    </row>
    <row r="6" spans="2:8" x14ac:dyDescent="0.15">
      <c r="B6" s="184" t="s">
        <v>91</v>
      </c>
      <c r="C6" s="185">
        <f>C4*C5</f>
        <v>1.503E-2</v>
      </c>
    </row>
    <row r="8" spans="2:8" x14ac:dyDescent="0.15">
      <c r="B8" s="190" t="s">
        <v>93</v>
      </c>
      <c r="C8" s="174" t="s">
        <v>89</v>
      </c>
      <c r="D8" s="175" t="s">
        <v>92</v>
      </c>
      <c r="E8" s="188" t="s">
        <v>95</v>
      </c>
      <c r="F8" s="191" t="s">
        <v>90</v>
      </c>
      <c r="G8" s="175" t="s">
        <v>94</v>
      </c>
      <c r="H8" s="188" t="s">
        <v>95</v>
      </c>
    </row>
    <row r="9" spans="2:8" x14ac:dyDescent="0.15">
      <c r="B9" s="193">
        <v>0</v>
      </c>
      <c r="C9" s="177">
        <f>$C$5-$C$6*$B9</f>
        <v>1.002</v>
      </c>
      <c r="D9" s="178">
        <f>C$9/C9-1</f>
        <v>0</v>
      </c>
      <c r="E9" s="189">
        <f>D9/$C$2</f>
        <v>0</v>
      </c>
      <c r="F9" s="192">
        <f>$C$5+$C$6*$B9</f>
        <v>1.002</v>
      </c>
      <c r="G9" s="178">
        <f>F9/F$9-1</f>
        <v>0</v>
      </c>
      <c r="H9" s="189">
        <f>G9/$C$2</f>
        <v>0</v>
      </c>
    </row>
    <row r="10" spans="2:8" x14ac:dyDescent="0.15">
      <c r="B10" s="194">
        <f>B9+1</f>
        <v>1</v>
      </c>
      <c r="C10" s="181">
        <f>$C$5-$C$6*$B10</f>
        <v>0.98697000000000001</v>
      </c>
      <c r="D10" s="182">
        <f>C$9/C10-1</f>
        <v>1.5228426395939021E-2</v>
      </c>
      <c r="E10" s="199">
        <f t="shared" ref="E10:E28" si="0">D10/$C$2</f>
        <v>0.2538071065989837</v>
      </c>
      <c r="F10" s="197">
        <f>F9+$C$6*$B10</f>
        <v>1.0170300000000001</v>
      </c>
      <c r="G10" s="182">
        <f>F10/F$9-1</f>
        <v>1.5000000000000124E-2</v>
      </c>
      <c r="H10" s="199">
        <f t="shared" ref="H10:H28" si="1">G10/$C$2</f>
        <v>0.25000000000000211</v>
      </c>
    </row>
    <row r="11" spans="2:8" x14ac:dyDescent="0.15">
      <c r="B11" s="194">
        <f t="shared" ref="B11:B28" si="2">B10+1</f>
        <v>2</v>
      </c>
      <c r="C11" s="181">
        <f>$C$5-$C$6*$B11</f>
        <v>0.97194000000000003</v>
      </c>
      <c r="D11" s="182">
        <f>C$9/C11-1</f>
        <v>3.0927835051546282E-2</v>
      </c>
      <c r="E11" s="199">
        <f t="shared" si="0"/>
        <v>0.51546391752577136</v>
      </c>
      <c r="F11" s="197">
        <f>F10+$C$6*$B11</f>
        <v>1.0470900000000001</v>
      </c>
      <c r="G11" s="182">
        <f>F11/F$9-1</f>
        <v>4.5000000000000151E-2</v>
      </c>
      <c r="H11" s="199">
        <f t="shared" si="1"/>
        <v>0.75000000000000255</v>
      </c>
    </row>
    <row r="12" spans="2:8" x14ac:dyDescent="0.15">
      <c r="B12" s="194">
        <f t="shared" si="2"/>
        <v>3</v>
      </c>
      <c r="C12" s="181">
        <f>$C$5-$C$6*$B12</f>
        <v>0.95691000000000004</v>
      </c>
      <c r="D12" s="182">
        <f>C$9/C12-1</f>
        <v>4.7120418848167533E-2</v>
      </c>
      <c r="E12" s="199">
        <f t="shared" si="0"/>
        <v>0.78534031413612559</v>
      </c>
      <c r="F12" s="197">
        <f>F11+$C$6*$B12</f>
        <v>1.0921800000000002</v>
      </c>
      <c r="G12" s="182">
        <f>F12/F$9-1</f>
        <v>9.000000000000008E-2</v>
      </c>
      <c r="H12" s="199">
        <f t="shared" si="1"/>
        <v>1.5000000000000013</v>
      </c>
    </row>
    <row r="13" spans="2:8" x14ac:dyDescent="0.15">
      <c r="B13" s="194">
        <f t="shared" si="2"/>
        <v>4</v>
      </c>
      <c r="C13" s="181">
        <f>$C$5-$C$6*$B13</f>
        <v>0.94188000000000005</v>
      </c>
      <c r="D13" s="182">
        <f>C$9/C13-1</f>
        <v>6.3829787234042534E-2</v>
      </c>
      <c r="E13" s="199">
        <f t="shared" si="0"/>
        <v>1.0638297872340423</v>
      </c>
      <c r="F13" s="197">
        <f>F12+$C$6*$B13</f>
        <v>1.1523000000000001</v>
      </c>
      <c r="G13" s="182">
        <f>F13/F$9-1</f>
        <v>0.15000000000000013</v>
      </c>
      <c r="H13" s="199">
        <f t="shared" si="1"/>
        <v>2.5000000000000022</v>
      </c>
    </row>
    <row r="14" spans="2:8" x14ac:dyDescent="0.15">
      <c r="B14" s="194">
        <f t="shared" si="2"/>
        <v>5</v>
      </c>
      <c r="C14" s="181">
        <f>$C$5-$C$6*$B14</f>
        <v>0.92684999999999995</v>
      </c>
      <c r="D14" s="182">
        <f>C$9/C14-1</f>
        <v>8.1081081081081141E-2</v>
      </c>
      <c r="E14" s="199">
        <f t="shared" si="0"/>
        <v>1.3513513513513524</v>
      </c>
      <c r="F14" s="197">
        <f>F13+$C$6*$B14</f>
        <v>1.2274500000000002</v>
      </c>
      <c r="G14" s="182">
        <f>F14/F$9-1</f>
        <v>0.22500000000000009</v>
      </c>
      <c r="H14" s="199">
        <f t="shared" si="1"/>
        <v>3.7500000000000018</v>
      </c>
    </row>
    <row r="15" spans="2:8" x14ac:dyDescent="0.15">
      <c r="B15" s="194">
        <f t="shared" si="2"/>
        <v>6</v>
      </c>
      <c r="C15" s="181">
        <f>$C$5-$C$6*$B15</f>
        <v>0.91181999999999996</v>
      </c>
      <c r="D15" s="182">
        <f>C$9/C15-1</f>
        <v>9.8901098901098994E-2</v>
      </c>
      <c r="E15" s="199">
        <f t="shared" si="0"/>
        <v>1.64835164835165</v>
      </c>
      <c r="F15" s="197">
        <f>F14+$C$6*$B15</f>
        <v>1.3176300000000001</v>
      </c>
      <c r="G15" s="182">
        <f>F15/F$9-1</f>
        <v>0.31500000000000017</v>
      </c>
      <c r="H15" s="199">
        <f t="shared" si="1"/>
        <v>5.2500000000000027</v>
      </c>
    </row>
    <row r="16" spans="2:8" x14ac:dyDescent="0.15">
      <c r="B16" s="194">
        <f t="shared" si="2"/>
        <v>7</v>
      </c>
      <c r="C16" s="181">
        <f>$C$5-$C$6*$B16</f>
        <v>0.89678999999999998</v>
      </c>
      <c r="D16" s="182">
        <f>C$9/C16-1</f>
        <v>0.11731843575418988</v>
      </c>
      <c r="E16" s="199">
        <f t="shared" si="0"/>
        <v>1.9553072625698313</v>
      </c>
      <c r="F16" s="197">
        <f>F15+$C$6*$B16</f>
        <v>1.4228400000000001</v>
      </c>
      <c r="G16" s="182">
        <f>F16/F$9-1</f>
        <v>0.42000000000000015</v>
      </c>
      <c r="H16" s="199">
        <f t="shared" si="1"/>
        <v>7.0000000000000027</v>
      </c>
    </row>
    <row r="17" spans="2:8" x14ac:dyDescent="0.15">
      <c r="B17" s="194">
        <f t="shared" si="2"/>
        <v>8</v>
      </c>
      <c r="C17" s="181">
        <f>$C$5-$C$6*$B17</f>
        <v>0.88175999999999999</v>
      </c>
      <c r="D17" s="182">
        <f>C$9/C17-1</f>
        <v>0.13636363636363646</v>
      </c>
      <c r="E17" s="199">
        <f t="shared" si="0"/>
        <v>2.2727272727272747</v>
      </c>
      <c r="F17" s="197">
        <f>F16+$C$6*$B17</f>
        <v>1.54308</v>
      </c>
      <c r="G17" s="182">
        <f>F17/F$9-1</f>
        <v>0.54</v>
      </c>
      <c r="H17" s="199">
        <f t="shared" si="1"/>
        <v>9.0000000000000018</v>
      </c>
    </row>
    <row r="18" spans="2:8" x14ac:dyDescent="0.15">
      <c r="B18" s="194">
        <f t="shared" si="2"/>
        <v>9</v>
      </c>
      <c r="C18" s="181">
        <f>$C$5-$C$6*$B18</f>
        <v>0.86673</v>
      </c>
      <c r="D18" s="182">
        <f>C$9/C18-1</f>
        <v>0.1560693641618498</v>
      </c>
      <c r="E18" s="199">
        <f t="shared" si="0"/>
        <v>2.6011560693641633</v>
      </c>
      <c r="F18" s="197">
        <f>F17+$C$6*$B18</f>
        <v>1.67835</v>
      </c>
      <c r="G18" s="182">
        <f>F18/F$9-1</f>
        <v>0.67500000000000004</v>
      </c>
      <c r="H18" s="199">
        <f t="shared" si="1"/>
        <v>11.250000000000002</v>
      </c>
    </row>
    <row r="19" spans="2:8" x14ac:dyDescent="0.15">
      <c r="B19" s="194">
        <f t="shared" si="2"/>
        <v>10</v>
      </c>
      <c r="C19" s="181">
        <f>$C$5-$C$6*$B19</f>
        <v>0.85170000000000001</v>
      </c>
      <c r="D19" s="182">
        <f>C$9/C19-1</f>
        <v>0.17647058823529416</v>
      </c>
      <c r="E19" s="199">
        <f t="shared" si="0"/>
        <v>2.9411764705882359</v>
      </c>
      <c r="F19" s="197">
        <f>F18+$C$6*$B19</f>
        <v>1.8286500000000001</v>
      </c>
      <c r="G19" s="182">
        <f>F19/F$9-1</f>
        <v>0.82500000000000018</v>
      </c>
      <c r="H19" s="199">
        <f t="shared" si="1"/>
        <v>13.750000000000004</v>
      </c>
    </row>
    <row r="20" spans="2:8" x14ac:dyDescent="0.15">
      <c r="B20" s="194">
        <f t="shared" si="2"/>
        <v>11</v>
      </c>
      <c r="C20" s="181">
        <f>$C$5-$C$6*$B20</f>
        <v>0.83667000000000002</v>
      </c>
      <c r="D20" s="182">
        <f>C$9/C20-1</f>
        <v>0.19760479041916157</v>
      </c>
      <c r="E20" s="199">
        <f t="shared" si="0"/>
        <v>3.2934131736526928</v>
      </c>
      <c r="F20" s="197">
        <f>F19+$C$6*$B20</f>
        <v>1.9939800000000001</v>
      </c>
      <c r="G20" s="182">
        <f>F20/F$9-1</f>
        <v>0.99</v>
      </c>
      <c r="H20" s="199">
        <f t="shared" si="1"/>
        <v>16.5</v>
      </c>
    </row>
    <row r="21" spans="2:8" x14ac:dyDescent="0.15">
      <c r="B21" s="194">
        <f t="shared" si="2"/>
        <v>12</v>
      </c>
      <c r="C21" s="181">
        <f>$C$5-$C$6*$B21</f>
        <v>0.82164000000000004</v>
      </c>
      <c r="D21" s="182">
        <f>C$9/C21-1</f>
        <v>0.21951219512195119</v>
      </c>
      <c r="E21" s="199">
        <f t="shared" si="0"/>
        <v>3.6585365853658534</v>
      </c>
      <c r="F21" s="197">
        <f>F20+$C$6*$B21</f>
        <v>2.1743399999999999</v>
      </c>
      <c r="G21" s="182">
        <f>F21/F$9-1</f>
        <v>1.17</v>
      </c>
      <c r="H21" s="199">
        <f t="shared" si="1"/>
        <v>19.5</v>
      </c>
    </row>
    <row r="22" spans="2:8" x14ac:dyDescent="0.15">
      <c r="B22" s="194">
        <f t="shared" si="2"/>
        <v>13</v>
      </c>
      <c r="C22" s="181">
        <f>$C$5-$C$6*$B22</f>
        <v>0.80661000000000005</v>
      </c>
      <c r="D22" s="182">
        <f>C$9/C22-1</f>
        <v>0.2422360248447204</v>
      </c>
      <c r="E22" s="199">
        <f t="shared" si="0"/>
        <v>4.0372670807453401</v>
      </c>
      <c r="F22" s="197">
        <f>F21+$C$6*$B22</f>
        <v>2.3697300000000001</v>
      </c>
      <c r="G22" s="182">
        <f>F22/F$9-1</f>
        <v>1.3650000000000002</v>
      </c>
      <c r="H22" s="199">
        <f t="shared" si="1"/>
        <v>22.750000000000004</v>
      </c>
    </row>
    <row r="23" spans="2:8" x14ac:dyDescent="0.15">
      <c r="B23" s="194">
        <f t="shared" si="2"/>
        <v>14</v>
      </c>
      <c r="C23" s="181">
        <f>$C$5-$C$6*$B23</f>
        <v>0.79157999999999995</v>
      </c>
      <c r="D23" s="182">
        <f>C$9/C23-1</f>
        <v>0.26582278481012667</v>
      </c>
      <c r="E23" s="199">
        <f t="shared" si="0"/>
        <v>4.4303797468354444</v>
      </c>
      <c r="F23" s="197">
        <f>F22+$C$6*$B23</f>
        <v>2.5801500000000002</v>
      </c>
      <c r="G23" s="182">
        <f>F23/F$9-1</f>
        <v>1.5750000000000002</v>
      </c>
      <c r="H23" s="199">
        <f t="shared" si="1"/>
        <v>26.250000000000004</v>
      </c>
    </row>
    <row r="24" spans="2:8" x14ac:dyDescent="0.15">
      <c r="B24" s="194">
        <f t="shared" si="2"/>
        <v>15</v>
      </c>
      <c r="C24" s="181">
        <f>$C$5-$C$6*$B24</f>
        <v>0.77654999999999996</v>
      </c>
      <c r="D24" s="182">
        <f>C$9/C24-1</f>
        <v>0.29032258064516125</v>
      </c>
      <c r="E24" s="199">
        <f t="shared" si="0"/>
        <v>4.8387096774193541</v>
      </c>
      <c r="F24" s="197">
        <f>F23+$C$6*$B24</f>
        <v>2.8056000000000001</v>
      </c>
      <c r="G24" s="182">
        <f>F24/F$9-1</f>
        <v>1.8000000000000003</v>
      </c>
      <c r="H24" s="199">
        <f t="shared" si="1"/>
        <v>30.000000000000007</v>
      </c>
    </row>
    <row r="25" spans="2:8" x14ac:dyDescent="0.15">
      <c r="B25" s="194">
        <f t="shared" si="2"/>
        <v>16</v>
      </c>
      <c r="C25" s="181">
        <f>$C$5-$C$6*$B25</f>
        <v>0.76151999999999997</v>
      </c>
      <c r="D25" s="182">
        <f>C$9/C25-1</f>
        <v>0.31578947368421062</v>
      </c>
      <c r="E25" s="199">
        <f t="shared" si="0"/>
        <v>5.2631578947368443</v>
      </c>
      <c r="F25" s="197">
        <f>F24+$C$6*$B25</f>
        <v>3.0460799999999999</v>
      </c>
      <c r="G25" s="182">
        <f>F25/F$9-1</f>
        <v>2.04</v>
      </c>
      <c r="H25" s="199">
        <f t="shared" si="1"/>
        <v>34</v>
      </c>
    </row>
    <row r="26" spans="2:8" x14ac:dyDescent="0.15">
      <c r="B26" s="194">
        <f t="shared" si="2"/>
        <v>17</v>
      </c>
      <c r="C26" s="181">
        <f>$C$5-$C$6*$B26</f>
        <v>0.74648999999999999</v>
      </c>
      <c r="D26" s="182">
        <f>C$9/C26-1</f>
        <v>0.34228187919463093</v>
      </c>
      <c r="E26" s="199">
        <f t="shared" si="0"/>
        <v>5.7046979865771821</v>
      </c>
      <c r="F26" s="197">
        <f>F25+$C$6*$B26</f>
        <v>3.30159</v>
      </c>
      <c r="G26" s="182">
        <f>F26/F$9-1</f>
        <v>2.2949999999999999</v>
      </c>
      <c r="H26" s="199">
        <f t="shared" si="1"/>
        <v>38.25</v>
      </c>
    </row>
    <row r="27" spans="2:8" x14ac:dyDescent="0.15">
      <c r="B27" s="194">
        <f t="shared" si="2"/>
        <v>18</v>
      </c>
      <c r="C27" s="181">
        <f>$C$5-$C$6*$B27</f>
        <v>0.73146</v>
      </c>
      <c r="D27" s="182">
        <f>C$9/C27-1</f>
        <v>0.36986301369863006</v>
      </c>
      <c r="E27" s="199">
        <f t="shared" si="0"/>
        <v>6.1643835616438345</v>
      </c>
      <c r="F27" s="197">
        <f>F26+$C$6*$B27</f>
        <v>3.57213</v>
      </c>
      <c r="G27" s="182">
        <f>F27/F$9-1</f>
        <v>2.5649999999999999</v>
      </c>
      <c r="H27" s="199">
        <f t="shared" si="1"/>
        <v>42.75</v>
      </c>
    </row>
    <row r="28" spans="2:8" x14ac:dyDescent="0.15">
      <c r="B28" s="195">
        <f t="shared" si="2"/>
        <v>19</v>
      </c>
      <c r="C28" s="186">
        <f>$C$5-$C$6*$B28</f>
        <v>0.71643000000000001</v>
      </c>
      <c r="D28" s="187">
        <f>C$9/C28-1</f>
        <v>0.39860139860139854</v>
      </c>
      <c r="E28" s="200">
        <f t="shared" si="0"/>
        <v>6.6433566433566424</v>
      </c>
      <c r="F28" s="198">
        <f>F27+$C$6*$B28</f>
        <v>3.8576999999999999</v>
      </c>
      <c r="G28" s="187">
        <f>F28/F$9-1</f>
        <v>2.85</v>
      </c>
      <c r="H28" s="200">
        <f t="shared" si="1"/>
        <v>47.5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MID</vt:lpstr>
      <vt:lpstr>Time Decay</vt:lpstr>
      <vt:lpstr>VWAP</vt:lpstr>
      <vt:lpstr>Exposure</vt:lpstr>
      <vt:lpstr>Returns</vt:lpstr>
      <vt:lpstr>Regression</vt:lpstr>
      <vt:lpstr>Slice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Takanori Takase</dc:creator>
  <cp:lastModifiedBy>Takanori Takase</cp:lastModifiedBy>
  <dcterms:created xsi:type="dcterms:W3CDTF">2017-08-25T22:15:15Z</dcterms:created>
  <dcterms:modified xsi:type="dcterms:W3CDTF">2017-12-20T11:07:47Z</dcterms:modified>
</cp:coreProperties>
</file>