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definice" sheetId="1" r:id="rId1"/>
    <sheet name="funkce" sheetId="4" r:id="rId2"/>
    <sheet name="jednotky" sheetId="2" r:id="rId3"/>
    <sheet name="navod" sheetId="3" r:id="rId4"/>
  </sheets>
  <definedNames>
    <definedName name="error">"???"</definedName>
    <definedName name="getSoucinovyClen">IF(ISNUMBER(definice!XFC1),POWER(definice!XFC1,definice!XFD1),1)</definedName>
    <definedName name="getSouctovyClen">definice!XFD1*IF(ISNUMBER(definice!XFC1),definice!XFC1,0)</definedName>
    <definedName name="getVar">IF(definice!XFB1=x,definice!XFC1,0)</definedName>
    <definedName name="NaN">"-"</definedName>
    <definedName name="x">"x"</definedName>
  </definedNames>
  <calcPr calcId="145621"/>
</workbook>
</file>

<file path=xl/calcChain.xml><?xml version="1.0" encoding="utf-8"?>
<calcChain xmlns="http://schemas.openxmlformats.org/spreadsheetml/2006/main">
  <c r="M34" i="1" l="1"/>
  <c r="L33" i="1"/>
  <c r="M35" i="1"/>
  <c r="H36" i="1" l="1"/>
  <c r="H29" i="1"/>
  <c r="H26" i="1"/>
  <c r="H28" i="1"/>
  <c r="E37" i="1"/>
  <c r="C37" i="1"/>
  <c r="B37" i="1"/>
  <c r="G36" i="1"/>
  <c r="F36" i="1"/>
  <c r="G35" i="1"/>
  <c r="F35" i="1"/>
  <c r="G34" i="1"/>
  <c r="F34" i="1"/>
  <c r="G33" i="1"/>
  <c r="G37" i="1" s="1"/>
  <c r="F33" i="1"/>
  <c r="C33" i="1"/>
  <c r="F37" i="1" l="1"/>
  <c r="D37" i="1" s="1"/>
  <c r="H35" i="1" s="1"/>
  <c r="B23" i="1"/>
  <c r="G26" i="1"/>
  <c r="G27" i="1"/>
  <c r="G28" i="1"/>
  <c r="G25" i="1"/>
  <c r="L14" i="1"/>
  <c r="E29" i="1"/>
  <c r="C29" i="1"/>
  <c r="B29" i="1"/>
  <c r="F28" i="1"/>
  <c r="F27" i="1"/>
  <c r="F26" i="1"/>
  <c r="F25" i="1"/>
  <c r="J36" i="1" l="1"/>
  <c r="H33" i="1"/>
  <c r="H34" i="1"/>
  <c r="J34" i="1" s="1"/>
  <c r="J35" i="1"/>
  <c r="J33" i="1"/>
  <c r="F29" i="1"/>
  <c r="G29" i="1"/>
  <c r="L13" i="1" a="1"/>
  <c r="L13" i="1" s="1"/>
  <c r="P15" i="1"/>
  <c r="P8" i="1"/>
  <c r="P9" i="1" s="1"/>
  <c r="G15" i="1"/>
  <c r="G13" i="1"/>
  <c r="G14" i="1"/>
  <c r="J37" i="1" l="1"/>
  <c r="D29" i="1"/>
  <c r="F14" i="1"/>
  <c r="F15" i="1"/>
  <c r="F13" i="1"/>
  <c r="C5" i="1"/>
  <c r="M4" i="1"/>
  <c r="K4" i="1"/>
  <c r="K10" i="1" s="1"/>
  <c r="H27" i="1" l="1"/>
  <c r="H25" i="1"/>
  <c r="S13" i="2"/>
  <c r="R13" i="2"/>
  <c r="Q13" i="2"/>
  <c r="N13" i="2"/>
  <c r="P13" i="2" s="1"/>
  <c r="M13" i="2"/>
  <c r="L13" i="2" a="1"/>
  <c r="L13" i="2" s="1"/>
  <c r="O13" i="2" s="1"/>
  <c r="K13" i="2"/>
  <c r="K5" i="2" l="1"/>
  <c r="L5" i="2" s="1" a="1"/>
  <c r="L5" i="2" s="1"/>
  <c r="J5" i="2"/>
  <c r="J6" i="2" s="1" a="1"/>
  <c r="J6" i="2" s="1"/>
  <c r="K6" i="2" s="1"/>
  <c r="L6" i="2" l="1"/>
  <c r="D21" i="2"/>
  <c r="C21" i="2"/>
  <c r="D20" i="2"/>
  <c r="C20" i="2"/>
  <c r="B7" i="2"/>
  <c r="D25" i="2"/>
  <c r="C25" i="2"/>
  <c r="D24" i="2"/>
  <c r="D23" i="2"/>
  <c r="D22" i="2"/>
  <c r="D19" i="2"/>
  <c r="D18" i="2"/>
  <c r="D17" i="2"/>
  <c r="D16" i="2"/>
  <c r="D15" i="2"/>
  <c r="D14" i="2"/>
  <c r="C24" i="2"/>
  <c r="C23" i="2"/>
  <c r="C22" i="2"/>
  <c r="C19" i="2"/>
  <c r="C18" i="2"/>
  <c r="C17" i="2"/>
  <c r="C16" i="2"/>
  <c r="C15" i="2"/>
  <c r="C14" i="2"/>
  <c r="F6" i="1" l="1"/>
  <c r="G6" i="1"/>
  <c r="F7" i="1"/>
  <c r="G7" i="1"/>
  <c r="G8" i="1"/>
  <c r="F8" i="1"/>
  <c r="F5" i="1"/>
  <c r="G5" i="1"/>
  <c r="C17" i="1" l="1"/>
  <c r="F16" i="1"/>
  <c r="F17" i="1" s="1"/>
  <c r="E17" i="1"/>
  <c r="B17" i="1"/>
  <c r="G16" i="1"/>
  <c r="G17" i="1" s="1"/>
  <c r="D17" i="1" l="1"/>
  <c r="E10" i="1"/>
  <c r="C10" i="1"/>
  <c r="B10" i="1"/>
  <c r="F9" i="1" l="1"/>
  <c r="F10" i="1" s="1"/>
  <c r="G9" i="1"/>
  <c r="G10" i="1" s="1"/>
  <c r="D10" i="1" s="1"/>
</calcChain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konstanta</t>
        </r>
      </text>
    </comment>
    <comment ref="J5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hmotnost prázdného odměrného válce</t>
        </r>
      </text>
    </comment>
    <comment ref="B6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předpokládaný průměrný průtok surové vody Actiflo čiřičem</t>
        </r>
      </text>
    </comment>
    <comment ref="J6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celková hmotnost, tj. hmotnost válce naplněného vzorkem</t>
        </r>
      </text>
    </comment>
    <comment ref="B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doba plnění odměrného válce vzorkem</t>
        </r>
      </text>
    </comment>
    <comment ref="J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objem vzorku</t>
        </r>
      </text>
    </comment>
    <comment ref="J8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předpokládaný průměrný průtok surové vody Actiflo čiřičem</t>
        </r>
      </text>
    </comment>
    <comment ref="J9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doba plnění odměrného válce vzorkem</t>
        </r>
      </text>
    </comment>
    <comment ref="B13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hmotnost prázdného odměrného válce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celková hmotnost, tj. hmotnost válce naplněného vzorkem</t>
        </r>
      </text>
    </comment>
    <comment ref="B15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objem vzorku</t>
        </r>
      </text>
    </comment>
    <comment ref="H29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příznak zda vše OK</t>
        </r>
      </text>
    </comment>
  </commentList>
</comments>
</file>

<file path=xl/sharedStrings.xml><?xml version="1.0" encoding="utf-8"?>
<sst xmlns="http://schemas.openxmlformats.org/spreadsheetml/2006/main" count="161" uniqueCount="90">
  <si>
    <t>x</t>
  </si>
  <si>
    <t>k</t>
  </si>
  <si>
    <t>V</t>
  </si>
  <si>
    <t>t</t>
  </si>
  <si>
    <t>s</t>
  </si>
  <si>
    <t>veličina</t>
  </si>
  <si>
    <t>hodnota</t>
  </si>
  <si>
    <t>jednotka</t>
  </si>
  <si>
    <t>exp</t>
  </si>
  <si>
    <t>mult</t>
  </si>
  <si>
    <t>T</t>
  </si>
  <si>
    <t>G</t>
  </si>
  <si>
    <t>M</t>
  </si>
  <si>
    <t>-</t>
  </si>
  <si>
    <t>m</t>
  </si>
  <si>
    <t>µ</t>
  </si>
  <si>
    <t>n</t>
  </si>
  <si>
    <t>symbol</t>
  </si>
  <si>
    <t>K</t>
  </si>
  <si>
    <t>h</t>
  </si>
  <si>
    <t>kg</t>
  </si>
  <si>
    <t>mol</t>
  </si>
  <si>
    <t>N</t>
  </si>
  <si>
    <t>Pa</t>
  </si>
  <si>
    <t>bar</t>
  </si>
  <si>
    <t>mult.</t>
  </si>
  <si>
    <t>basic</t>
  </si>
  <si>
    <t>add</t>
  </si>
  <si>
    <t>°C</t>
  </si>
  <si>
    <t>value</t>
  </si>
  <si>
    <t>převod</t>
  </si>
  <si>
    <t>name</t>
  </si>
  <si>
    <t>prefix</t>
  </si>
  <si>
    <t>tera</t>
  </si>
  <si>
    <t>giga</t>
  </si>
  <si>
    <t>mega</t>
  </si>
  <si>
    <t>mili</t>
  </si>
  <si>
    <t>mikro</t>
  </si>
  <si>
    <t>nano</t>
  </si>
  <si>
    <t>meter</t>
  </si>
  <si>
    <t>kelvin</t>
  </si>
  <si>
    <t>second</t>
  </si>
  <si>
    <t>hour</t>
  </si>
  <si>
    <t>kilogram</t>
  </si>
  <si>
    <t>newton</t>
  </si>
  <si>
    <t>pascal</t>
  </si>
  <si>
    <t>celsius degree</t>
  </si>
  <si>
    <t>molarity</t>
  </si>
  <si>
    <t>S</t>
  </si>
  <si>
    <t>siemens</t>
  </si>
  <si>
    <t>mbar</t>
  </si>
  <si>
    <t>unit</t>
  </si>
  <si>
    <t>µS</t>
  </si>
  <si>
    <t>getPrefix</t>
  </si>
  <si>
    <t>getUnit</t>
  </si>
  <si>
    <t>getPrefixValue</t>
  </si>
  <si>
    <t>getUnitBasic</t>
  </si>
  <si>
    <t>removePrefix</t>
  </si>
  <si>
    <t>getUnitMult</t>
  </si>
  <si>
    <t>etUnitExp</t>
  </si>
  <si>
    <t>getUnitAdd</t>
  </si>
  <si>
    <t>sign</t>
  </si>
  <si>
    <t>mikropísek - koncentrace</t>
  </si>
  <si>
    <t>a) pomocí analytických předvážek</t>
  </si>
  <si>
    <t>g</t>
  </si>
  <si>
    <r>
      <t>m</t>
    </r>
    <r>
      <rPr>
        <vertAlign val="subscript"/>
        <sz val="11"/>
        <color theme="1"/>
        <rFont val="Calibri"/>
        <family val="2"/>
        <charset val="238"/>
        <scheme val="minor"/>
      </rPr>
      <t>c</t>
    </r>
  </si>
  <si>
    <t>ml</t>
  </si>
  <si>
    <r>
      <t>Q</t>
    </r>
    <r>
      <rPr>
        <vertAlign val="subscript"/>
        <sz val="11"/>
        <color theme="1"/>
        <rFont val="Calibri"/>
        <family val="2"/>
        <charset val="238"/>
        <scheme val="minor"/>
      </rPr>
      <t>SV</t>
    </r>
  </si>
  <si>
    <r>
      <t>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.h</t>
    </r>
    <r>
      <rPr>
        <vertAlign val="superscript"/>
        <sz val="11"/>
        <color theme="1"/>
        <rFont val="Calibri"/>
        <family val="2"/>
        <charset val="238"/>
        <scheme val="minor"/>
      </rPr>
      <t>-1</t>
    </r>
  </si>
  <si>
    <t>c</t>
  </si>
  <si>
    <r>
      <t>g.dm</t>
    </r>
    <r>
      <rPr>
        <b/>
        <vertAlign val="superscript"/>
        <sz val="11"/>
        <color theme="1"/>
        <rFont val="Calibri"/>
        <family val="2"/>
        <charset val="238"/>
        <scheme val="minor"/>
      </rPr>
      <t>-3</t>
    </r>
  </si>
  <si>
    <t>X</t>
  </si>
  <si>
    <r>
      <t>g.dm</t>
    </r>
    <r>
      <rPr>
        <vertAlign val="superscript"/>
        <sz val="11"/>
        <color theme="1"/>
        <rFont val="Calibri"/>
        <family val="2"/>
        <charset val="238"/>
        <scheme val="minor"/>
      </rPr>
      <t>-3</t>
    </r>
  </si>
  <si>
    <t>do příslušné tabulky zadej hodnoty veličin</t>
  </si>
  <si>
    <t>za neznámou veličinu dosaď x (tj. do příslušné buňky zadej =x)</t>
  </si>
  <si>
    <t>neznámá smí být pouze jedna!</t>
  </si>
  <si>
    <t>u</t>
  </si>
  <si>
    <t>var</t>
  </si>
  <si>
    <t>#N/A</t>
  </si>
  <si>
    <t>A</t>
  </si>
  <si>
    <t>B</t>
  </si>
  <si>
    <t>C</t>
  </si>
  <si>
    <t>D</t>
  </si>
  <si>
    <t>res</t>
  </si>
  <si>
    <t>quant</t>
  </si>
  <si>
    <t>1 = A * B * C&lt;-1&gt; * D</t>
  </si>
  <si>
    <t>fce</t>
  </si>
  <si>
    <t>log</t>
  </si>
  <si>
    <t>inv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</si>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</sst>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/>
    <xf numFmtId="0" fontId="3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ální" xfId="0" builtinId="0"/>
  </cellStyles>
  <dxfs count="68"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ill>
        <patternFill>
          <bgColor rgb="FFFFFF00"/>
        </patternFill>
      </fill>
    </dxf>
    <dxf>
      <font>
        <color rgb="FFFF0000"/>
      </font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5" formatCode="0.00E+0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7" name="Tabulka38" displayName="Tabulka38" ref="B4:G10" totalsRowCount="1" headerRowDxfId="67" headerRowBorderDxfId="66" tableBorderDxfId="65" totalsRowBorderDxfId="64">
  <autoFilter ref="B4:G9"/>
  <tableColumns count="6">
    <tableColumn id="1" name="veličina" totalsRowFunction="custom" totalsRowDxfId="63">
      <totalsRowFormula>INDEX(Tabulka38[veličina],MATCH("x",Tabulka38[hodnota],0),1)</totalsRowFormula>
    </tableColumn>
    <tableColumn id="3" name="jednotka" totalsRowFunction="custom" totalsRowDxfId="62">
      <totalsRowFormula>INDEX(Tabulka38[jednotka],MATCH("x",Tabulka38[hodnota],0),1)</totalsRowFormula>
    </tableColumn>
    <tableColumn id="4" name="hodnota" totalsRowFunction="custom" dataDxfId="61" totalsRowDxfId="60">
      <totalsRowFormula>IF(Tabulka38[[#Totals],[var]]=1,POWER((Tabulka38[[#Totals],[mult]]),(Tabulka38[[#Totals],[exp]])),error)</totalsRowFormula>
    </tableColumn>
    <tableColumn id="5" name="exp" totalsRowFunction="custom" totalsRowDxfId="59">
      <totalsRowFormula>-INDEX(Tabulka38[exp],MATCH("x",Tabulka38[hodnota],0),1)</totalsRowFormula>
    </tableColumn>
    <tableColumn id="6" name="mult" totalsRowFunction="custom" totalsRowDxfId="58">
      <calculatedColumnFormula>getSoucinovyClen</calculatedColumnFormula>
      <totalsRowFormula>PRODUCT(Tabulka38[mult])</totalsRowFormula>
    </tableColumn>
    <tableColumn id="2" name="var" totalsRowFunction="sum" totalsRowDxfId="57">
      <calculatedColumnFormula>getVar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8" name="Tabulka389" displayName="Tabulka389" ref="B12:G17" totalsRowCount="1" headerRowDxfId="56" headerRowBorderDxfId="55" tableBorderDxfId="54" totalsRowBorderDxfId="53">
  <autoFilter ref="B12:G16"/>
  <tableColumns count="6">
    <tableColumn id="1" name="veličina" totalsRowFunction="custom" dataDxfId="52" totalsRowDxfId="51">
      <totalsRowFormula>INDEX(Tabulka389[veličina],MATCH("x",Tabulka389[hodnota],0),1)</totalsRowFormula>
    </tableColumn>
    <tableColumn id="3" name="jednotka" totalsRowFunction="custom" dataDxfId="50" totalsRowDxfId="49">
      <totalsRowFormula>INDEX(Tabulka389[jednotka],MATCH("x",Tabulka389[hodnota],0),1)</totalsRowFormula>
    </tableColumn>
    <tableColumn id="4" name="hodnota" totalsRowFunction="custom" dataDxfId="48" totalsRowDxfId="47">
      <totalsRowFormula>Tabulka389[[#Totals],[sign]]*Tabulka389[[#Totals],[add]]</totalsRowFormula>
    </tableColumn>
    <tableColumn id="5" name="sign" totalsRowFunction="custom" dataDxfId="46" totalsRowDxfId="45">
      <totalsRowFormula>-INDEX(Tabulka389[sign],MATCH("x",Tabulka389[hodnota],0),1)</totalsRowFormula>
    </tableColumn>
    <tableColumn id="6" name="add" totalsRowFunction="custom" dataDxfId="44" totalsRowDxfId="43">
      <calculatedColumnFormula>getSouctovyClen</calculatedColumnFormula>
      <totalsRowFormula>SUM(Tabulka389[add])</totalsRowFormula>
    </tableColumn>
    <tableColumn id="2" name="var" totalsRowFunction="sum" dataDxfId="42" totalsRowDxfId="41">
      <calculatedColumnFormula>getVar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ulka3892" displayName="Tabulka3892" ref="B24:H29" totalsRowCount="1" headerRowDxfId="40" headerRowBorderDxfId="39" tableBorderDxfId="38" totalsRowBorderDxfId="37">
  <autoFilter ref="B24:H28"/>
  <tableColumns count="7">
    <tableColumn id="1" name="quant" totalsRowFunction="custom" dataDxfId="36" totalsRowDxfId="14">
      <totalsRowFormula>INDEX(Tabulka3892[quant],MATCH("x",Tabulka3892[value],0),1)</totalsRowFormula>
    </tableColumn>
    <tableColumn id="3" name="unit" totalsRowFunction="custom" dataDxfId="35" totalsRowDxfId="13">
      <totalsRowFormula>INDEX(Tabulka3892[unit],MATCH("x",Tabulka3892[value],0),1)</totalsRowFormula>
    </tableColumn>
    <tableColumn id="4" name="value" totalsRowFunction="custom" dataDxfId="34" totalsRowDxfId="12">
      <totalsRowFormula>((-1)*Tabulka3892[[#Totals],[add]])/Tabulka3892[[#Totals],[var]]</totalsRowFormula>
    </tableColumn>
    <tableColumn id="5" name="sign" totalsRowFunction="custom" dataDxfId="33" totalsRowDxfId="11">
      <totalsRowFormula>-INDEX(Tabulka3892[sign],MATCH("x",Tabulka3892[value],0),1)</totalsRowFormula>
    </tableColumn>
    <tableColumn id="6" name="add" totalsRowFunction="custom" dataDxfId="32" totalsRowDxfId="10">
      <calculatedColumnFormula>getSouctovyClen</calculatedColumnFormula>
      <totalsRowFormula>SUM(Tabulka3892[add])</totalsRowFormula>
    </tableColumn>
    <tableColumn id="2" name="var" totalsRowFunction="sum" dataDxfId="31" totalsRowDxfId="9">
      <calculatedColumnFormula>getVar</calculatedColumnFormula>
    </tableColumn>
    <tableColumn id="7" name="res" totalsRowFunction="custom" dataDxfId="15" totalsRowDxfId="8">
      <calculatedColumnFormula>IF(ISNUMBER(Tabulka3892[[#This Row],[value]]),Tabulka3892[[#This Row],[value]],Tabulka3892[[#Totals],[value]])</calculatedColumnFormula>
      <totalsRowFormula>SUMPRODUCT(Tabulka3892[sign],Tabulka3892[res])</totalsRow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ulka383" displayName="Tabulka383" ref="B32:H37" totalsRowCount="1" headerRowDxfId="29" dataDxfId="28" headerRowBorderDxfId="26" tableBorderDxfId="27" totalsRowBorderDxfId="25">
  <autoFilter ref="B32:H36"/>
  <tableColumns count="7">
    <tableColumn id="1" name="quant" totalsRowFunction="custom" dataDxfId="24" totalsRowDxfId="6">
      <totalsRowFormula>INDEX(Tabulka383[quant],MATCH("x",Tabulka383[value],0),1)</totalsRowFormula>
    </tableColumn>
    <tableColumn id="3" name="unit" totalsRowFunction="custom" dataDxfId="23" totalsRowDxfId="5">
      <totalsRowFormula>INDEX(Tabulka383[unit],MATCH("x",Tabulka383[value],0),1)</totalsRowFormula>
    </tableColumn>
    <tableColumn id="4" name="value" totalsRowFunction="custom" dataDxfId="22" totalsRowDxfId="4">
      <totalsRowFormula>POWER((Tabulka383[[#Totals],[mult]]),((-1)*(1/Tabulka383[[#Totals],[var]])))</totalsRowFormula>
    </tableColumn>
    <tableColumn id="5" name="exp" totalsRowFunction="custom" dataDxfId="21" totalsRowDxfId="3">
      <totalsRowFormula>-INDEX(Tabulka383[exp],MATCH("x",Tabulka383[value],0),1)</totalsRowFormula>
    </tableColumn>
    <tableColumn id="6" name="mult" totalsRowFunction="custom" dataDxfId="20" totalsRowDxfId="2">
      <calculatedColumnFormula>getSoucinovyClen</calculatedColumnFormula>
      <totalsRowFormula>PRODUCT(Tabulka383[mult])</totalsRowFormula>
    </tableColumn>
    <tableColumn id="2" name="var" totalsRowFunction="sum" dataDxfId="19" totalsRowDxfId="1">
      <calculatedColumnFormula>getVar</calculatedColumnFormula>
    </tableColumn>
    <tableColumn id="7" name="res" dataDxfId="7" totalsRowDxfId="0">
      <calculatedColumnFormula>IF(ISNUMBER(Tabulka383[[#This Row],[value]]),Tabulka383[[#This Row],[value]],Tabulka383[[#Totals],[value]])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ulka5" displayName="Tabulka5" ref="A13:G25" totalsRowShown="0">
  <autoFilter ref="A13:G25"/>
  <tableColumns count="7">
    <tableColumn id="1" name="symbol"/>
    <tableColumn id="2" name="name"/>
    <tableColumn id="3" name="prefix"/>
    <tableColumn id="4" name="basic"/>
    <tableColumn id="5" name="mult."/>
    <tableColumn id="6" name="exp"/>
    <tableColumn id="7" name="ad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ulka6" displayName="Tabulka6" ref="A3:C10" totalsRowShown="0">
  <autoFilter ref="A3:C10"/>
  <tableColumns count="3">
    <tableColumn id="1" name="prefix"/>
    <tableColumn id="2" name="name"/>
    <tableColumn id="3" name="value" dataDxfId="3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37"/>
  <sheetViews>
    <sheetView showGridLines="0" tabSelected="1" topLeftCell="A16" workbookViewId="0">
      <selection activeCell="M34" sqref="M34"/>
    </sheetView>
  </sheetViews>
  <sheetFormatPr defaultRowHeight="15" x14ac:dyDescent="0.25"/>
  <cols>
    <col min="1" max="1" width="8.140625" style="1" customWidth="1"/>
    <col min="2" max="7" width="10.7109375" style="1" customWidth="1"/>
    <col min="8" max="9" width="9.140625" style="1"/>
    <col min="10" max="10" width="11.85546875" style="1" bestFit="1" customWidth="1"/>
    <col min="11" max="15" width="9.140625" style="1"/>
    <col min="16" max="16" width="18.5703125" style="1" bestFit="1" customWidth="1"/>
    <col min="17" max="16384" width="9.140625" style="1"/>
  </cols>
  <sheetData>
    <row r="2" spans="2:16" x14ac:dyDescent="0.25">
      <c r="B2" s="7" t="s">
        <v>62</v>
      </c>
      <c r="J2" s="7" t="s">
        <v>62</v>
      </c>
      <c r="K2" s="8"/>
      <c r="L2" s="8"/>
      <c r="M2" s="8"/>
    </row>
    <row r="3" spans="2:16" x14ac:dyDescent="0.25">
      <c r="B3" s="8" t="s">
        <v>63</v>
      </c>
      <c r="C3" s="8"/>
      <c r="J3" s="8" t="s">
        <v>63</v>
      </c>
      <c r="K3" s="8"/>
      <c r="L3" s="8"/>
      <c r="M3" s="8"/>
    </row>
    <row r="4" spans="2:16" x14ac:dyDescent="0.25">
      <c r="B4" s="4" t="s">
        <v>5</v>
      </c>
      <c r="C4" s="6" t="s">
        <v>7</v>
      </c>
      <c r="D4" s="5" t="s">
        <v>6</v>
      </c>
      <c r="E4" s="5" t="s">
        <v>8</v>
      </c>
      <c r="F4" s="5" t="s">
        <v>9</v>
      </c>
      <c r="G4" s="5" t="s">
        <v>77</v>
      </c>
      <c r="J4" s="2" t="s">
        <v>1</v>
      </c>
      <c r="K4" s="11">
        <f>3.6*(2.65/1.65)</f>
        <v>5.7818181818181822</v>
      </c>
      <c r="L4" s="11">
        <v>5</v>
      </c>
      <c r="M4" s="2" t="str">
        <f>NaN</f>
        <v>-</v>
      </c>
    </row>
    <row r="5" spans="2:16" x14ac:dyDescent="0.25">
      <c r="B5" s="14" t="s">
        <v>1</v>
      </c>
      <c r="C5" s="14" t="str">
        <f>NaN</f>
        <v>-</v>
      </c>
      <c r="D5" s="14">
        <v>5.78</v>
      </c>
      <c r="E5" s="14">
        <v>1</v>
      </c>
      <c r="F5" s="14">
        <f>getSoucinovyClen</f>
        <v>5.78</v>
      </c>
      <c r="G5" s="22">
        <f>getVar</f>
        <v>0</v>
      </c>
      <c r="J5" s="2" t="s">
        <v>14</v>
      </c>
      <c r="K5" s="2">
        <v>209</v>
      </c>
      <c r="L5" s="2">
        <v>2</v>
      </c>
      <c r="M5" s="2" t="s">
        <v>64</v>
      </c>
    </row>
    <row r="6" spans="2:16" ht="18" x14ac:dyDescent="0.25">
      <c r="B6" s="2" t="s">
        <v>67</v>
      </c>
      <c r="C6" s="2" t="s">
        <v>68</v>
      </c>
      <c r="D6" s="2">
        <v>60</v>
      </c>
      <c r="E6" s="2">
        <v>-1</v>
      </c>
      <c r="F6" s="2">
        <f>getSoucinovyClen</f>
        <v>1.6666666666666666E-2</v>
      </c>
      <c r="G6" s="1">
        <f>getVar</f>
        <v>0</v>
      </c>
      <c r="J6" s="2" t="s">
        <v>65</v>
      </c>
      <c r="K6" s="2">
        <v>1409</v>
      </c>
      <c r="L6" s="2">
        <v>5</v>
      </c>
      <c r="M6" s="2" t="s">
        <v>64</v>
      </c>
      <c r="P6" s="1">
        <v>1</v>
      </c>
    </row>
    <row r="7" spans="2:16" x14ac:dyDescent="0.25">
      <c r="B7" s="2" t="s">
        <v>3</v>
      </c>
      <c r="C7" s="2" t="s">
        <v>4</v>
      </c>
      <c r="D7" s="2">
        <v>3.82</v>
      </c>
      <c r="E7" s="2">
        <v>-1</v>
      </c>
      <c r="F7" s="2">
        <f>getSoucinovyClen</f>
        <v>0.26178010471204188</v>
      </c>
      <c r="G7" s="1">
        <f>getVar</f>
        <v>0</v>
      </c>
      <c r="J7" s="2" t="s">
        <v>2</v>
      </c>
      <c r="K7" s="2">
        <v>950</v>
      </c>
      <c r="L7" s="2" t="s">
        <v>0</v>
      </c>
      <c r="M7" s="2" t="s">
        <v>66</v>
      </c>
      <c r="P7" s="1">
        <v>2</v>
      </c>
    </row>
    <row r="8" spans="2:16" ht="18" x14ac:dyDescent="0.25">
      <c r="B8" s="2" t="s">
        <v>69</v>
      </c>
      <c r="C8" s="10" t="s">
        <v>72</v>
      </c>
      <c r="D8" s="2" t="s">
        <v>0</v>
      </c>
      <c r="E8" s="2">
        <v>-1</v>
      </c>
      <c r="F8" s="13">
        <f>getSoucinovyClen</f>
        <v>1</v>
      </c>
      <c r="G8" s="1">
        <f>getVar</f>
        <v>-1</v>
      </c>
      <c r="J8" s="2" t="s">
        <v>67</v>
      </c>
      <c r="K8" s="2">
        <v>60</v>
      </c>
      <c r="L8" s="2" t="s">
        <v>76</v>
      </c>
      <c r="M8" s="2" t="s">
        <v>68</v>
      </c>
      <c r="P8" s="1" t="e">
        <f>5/0</f>
        <v>#DIV/0!</v>
      </c>
    </row>
    <row r="9" spans="2:16" x14ac:dyDescent="0.25">
      <c r="B9" s="17" t="s">
        <v>71</v>
      </c>
      <c r="C9" s="17" t="s">
        <v>13</v>
      </c>
      <c r="D9" s="19">
        <v>250</v>
      </c>
      <c r="E9" s="18">
        <v>1</v>
      </c>
      <c r="F9" s="18">
        <f>getSoucinovyClen</f>
        <v>250</v>
      </c>
      <c r="G9" s="22">
        <f>getVar</f>
        <v>0</v>
      </c>
      <c r="J9" s="2" t="s">
        <v>3</v>
      </c>
      <c r="K9" s="2">
        <v>3.82</v>
      </c>
      <c r="L9" s="2">
        <v>5</v>
      </c>
      <c r="M9" s="2" t="s">
        <v>4</v>
      </c>
      <c r="P9" s="1" t="e">
        <f>PRODUCT(P6:P8)</f>
        <v>#DIV/0!</v>
      </c>
    </row>
    <row r="10" spans="2:16" ht="17.25" x14ac:dyDescent="0.25">
      <c r="B10" s="15" t="str">
        <f>INDEX(Tabulka38[veličina],MATCH("x",Tabulka38[hodnota],0),1)</f>
        <v>c</v>
      </c>
      <c r="C10" s="15" t="str">
        <f>INDEX(Tabulka38[jednotka],MATCH("x",Tabulka38[hodnota],0),1)</f>
        <v>g.dm-3</v>
      </c>
      <c r="D10" s="15" t="str">
        <f>IF(Tabulka38[[#Totals],[var]]=1,POWER((Tabulka38[[#Totals],[mult]]),(Tabulka38[[#Totals],[exp]])),error)</f>
        <v>???</v>
      </c>
      <c r="E10" s="15">
        <f>-INDEX(Tabulka38[exp],MATCH("x",Tabulka38[hodnota],0),1)</f>
        <v>1</v>
      </c>
      <c r="F10" s="16">
        <f>PRODUCT(Tabulka38[mult])</f>
        <v>6.3045375218150097</v>
      </c>
      <c r="G10" s="23">
        <f>SUBTOTAL(109,Tabulka38[var])</f>
        <v>-1</v>
      </c>
      <c r="J10" s="3" t="s">
        <v>69</v>
      </c>
      <c r="K10" s="12">
        <f>(K4*(K6-K5-K7))/(K8*K9)</f>
        <v>6.3065207044264637</v>
      </c>
      <c r="L10" s="12"/>
      <c r="M10" s="3" t="s">
        <v>70</v>
      </c>
    </row>
    <row r="11" spans="2:16" x14ac:dyDescent="0.25">
      <c r="B11" s="24"/>
    </row>
    <row r="12" spans="2:16" x14ac:dyDescent="0.25">
      <c r="B12" s="4" t="s">
        <v>5</v>
      </c>
      <c r="C12" s="6" t="s">
        <v>7</v>
      </c>
      <c r="D12" s="5" t="s">
        <v>6</v>
      </c>
      <c r="E12" s="5" t="s">
        <v>61</v>
      </c>
      <c r="F12" s="5" t="s">
        <v>27</v>
      </c>
      <c r="G12" s="5" t="s">
        <v>77</v>
      </c>
    </row>
    <row r="13" spans="2:16" x14ac:dyDescent="0.25">
      <c r="B13" s="2" t="s">
        <v>14</v>
      </c>
      <c r="C13" s="2" t="s">
        <v>64</v>
      </c>
      <c r="D13" s="2">
        <v>209</v>
      </c>
      <c r="E13" s="2">
        <v>-1</v>
      </c>
      <c r="F13" s="2">
        <f>getSouctovyClen</f>
        <v>-209</v>
      </c>
      <c r="G13" s="5">
        <f>getVar</f>
        <v>0</v>
      </c>
      <c r="L13" s="1">
        <f t="array" ref="L13">SUMPRODUCT((ISNUMBER(L4:L9)*1))</f>
        <v>4</v>
      </c>
      <c r="P13" s="1">
        <v>3</v>
      </c>
    </row>
    <row r="14" spans="2:16" ht="18" x14ac:dyDescent="0.25">
      <c r="B14" s="2" t="s">
        <v>65</v>
      </c>
      <c r="C14" s="2" t="s">
        <v>64</v>
      </c>
      <c r="D14" s="2">
        <v>1409</v>
      </c>
      <c r="E14" s="2">
        <v>1</v>
      </c>
      <c r="F14" s="2">
        <f>getSouctovyClen</f>
        <v>1409</v>
      </c>
      <c r="G14" s="2">
        <f>getVar</f>
        <v>0</v>
      </c>
      <c r="L14" s="1" t="str">
        <f>"2*A1"</f>
        <v>2*A1</v>
      </c>
      <c r="P14" s="1" t="s">
        <v>78</v>
      </c>
    </row>
    <row r="15" spans="2:16" x14ac:dyDescent="0.25">
      <c r="B15" s="2" t="s">
        <v>2</v>
      </c>
      <c r="C15" s="2" t="s">
        <v>66</v>
      </c>
      <c r="D15" s="2">
        <v>950</v>
      </c>
      <c r="E15" s="2">
        <v>-1</v>
      </c>
      <c r="F15" s="2">
        <f>getSouctovyClen</f>
        <v>-950</v>
      </c>
      <c r="G15" s="2">
        <f>getVar</f>
        <v>0</v>
      </c>
      <c r="P15" s="1" t="e">
        <f>CHOOSE(ERROR.TYPE(#VALUE!),"Chybicka se vloudila!")</f>
        <v>#VALUE!</v>
      </c>
    </row>
    <row r="16" spans="2:16" x14ac:dyDescent="0.25">
      <c r="B16" s="17" t="s">
        <v>71</v>
      </c>
      <c r="C16" s="17" t="s">
        <v>13</v>
      </c>
      <c r="D16" s="20" t="s">
        <v>0</v>
      </c>
      <c r="E16" s="18">
        <v>-1</v>
      </c>
      <c r="F16" s="18">
        <f>getSouctovyClen</f>
        <v>0</v>
      </c>
      <c r="G16" s="15">
        <f>getVar</f>
        <v>-1</v>
      </c>
    </row>
    <row r="17" spans="2:13" x14ac:dyDescent="0.25">
      <c r="B17" s="15" t="str">
        <f>INDEX(Tabulka389[veličina],MATCH("x",Tabulka389[hodnota],0),1)</f>
        <v>X</v>
      </c>
      <c r="C17" s="15" t="str">
        <f>INDEX(Tabulka389[jednotka],MATCH("x",Tabulka389[hodnota],0),1)</f>
        <v>-</v>
      </c>
      <c r="D17" s="15">
        <f>Tabulka389[[#Totals],[sign]]*Tabulka389[[#Totals],[add]]</f>
        <v>250</v>
      </c>
      <c r="E17" s="15">
        <f>-INDEX(Tabulka389[sign],MATCH("x",Tabulka389[hodnota],0),1)</f>
        <v>1</v>
      </c>
      <c r="F17" s="16">
        <f>SUM(Tabulka389[add])</f>
        <v>250</v>
      </c>
      <c r="G17" s="15">
        <f>SUBTOTAL(109,Tabulka389[var])</f>
        <v>-1</v>
      </c>
    </row>
    <row r="18" spans="2:13" x14ac:dyDescent="0.25">
      <c r="B18" s="21"/>
    </row>
    <row r="23" spans="2:13" x14ac:dyDescent="0.25">
      <c r="B23" s="24" t="str">
        <f>"0 = A + B + C - D"</f>
        <v>0 = A + B + C - D</v>
      </c>
    </row>
    <row r="24" spans="2:13" x14ac:dyDescent="0.25">
      <c r="B24" s="4" t="s">
        <v>84</v>
      </c>
      <c r="C24" s="6" t="s">
        <v>51</v>
      </c>
      <c r="D24" s="5" t="s">
        <v>29</v>
      </c>
      <c r="E24" s="5" t="s">
        <v>61</v>
      </c>
      <c r="F24" s="5" t="s">
        <v>27</v>
      </c>
      <c r="G24" s="5" t="s">
        <v>77</v>
      </c>
      <c r="H24" s="5" t="s">
        <v>83</v>
      </c>
    </row>
    <row r="25" spans="2:13" x14ac:dyDescent="0.25">
      <c r="B25" s="2" t="s">
        <v>79</v>
      </c>
      <c r="C25" s="2" t="s">
        <v>64</v>
      </c>
      <c r="D25" s="13">
        <v>8</v>
      </c>
      <c r="E25" s="2">
        <v>1</v>
      </c>
      <c r="F25" s="2">
        <f>getSouctovyClen</f>
        <v>8</v>
      </c>
      <c r="G25" s="5">
        <f>getVar</f>
        <v>0</v>
      </c>
      <c r="H25" s="30">
        <f>IF(ISNUMBER(Tabulka3892[[#This Row],[value]]),Tabulka3892[[#This Row],[value]],Tabulka3892[[#Totals],[value]])</f>
        <v>8</v>
      </c>
    </row>
    <row r="26" spans="2:13" x14ac:dyDescent="0.25">
      <c r="B26" s="2" t="s">
        <v>80</v>
      </c>
      <c r="C26" s="2" t="s">
        <v>64</v>
      </c>
      <c r="D26" s="13">
        <v>4</v>
      </c>
      <c r="E26" s="2">
        <v>1</v>
      </c>
      <c r="F26" s="2">
        <f>getSouctovyClen</f>
        <v>4</v>
      </c>
      <c r="G26" s="2">
        <f>getVar</f>
        <v>0</v>
      </c>
      <c r="H26" s="13">
        <f>IF(ISNUMBER(Tabulka3892[[#This Row],[value]]),Tabulka3892[[#This Row],[value]],Tabulka3892[[#Totals],[value]])</f>
        <v>4</v>
      </c>
    </row>
    <row r="27" spans="2:13" x14ac:dyDescent="0.25">
      <c r="B27" s="2" t="s">
        <v>81</v>
      </c>
      <c r="C27" s="2" t="s">
        <v>66</v>
      </c>
      <c r="D27" s="13" t="s">
        <v>0</v>
      </c>
      <c r="E27" s="2">
        <v>1</v>
      </c>
      <c r="F27" s="2">
        <f>getSouctovyClen</f>
        <v>0</v>
      </c>
      <c r="G27" s="2">
        <f>getVar</f>
        <v>1</v>
      </c>
      <c r="H27" s="13">
        <f>IF(ISNUMBER(Tabulka3892[[#This Row],[value]]),Tabulka3892[[#This Row],[value]],Tabulka3892[[#Totals],[value]])</f>
        <v>-6</v>
      </c>
    </row>
    <row r="28" spans="2:13" x14ac:dyDescent="0.25">
      <c r="B28" s="25" t="s">
        <v>82</v>
      </c>
      <c r="C28" s="26" t="s">
        <v>13</v>
      </c>
      <c r="D28" s="29">
        <v>6</v>
      </c>
      <c r="E28" s="27">
        <v>-1</v>
      </c>
      <c r="F28" s="27">
        <f>getSouctovyClen</f>
        <v>-6</v>
      </c>
      <c r="G28" s="28">
        <f>getVar</f>
        <v>0</v>
      </c>
      <c r="H28" s="31">
        <f>IF(ISNUMBER(Tabulka3892[[#This Row],[value]]),Tabulka3892[[#This Row],[value]],Tabulka3892[[#Totals],[value]])</f>
        <v>6</v>
      </c>
    </row>
    <row r="29" spans="2:13" x14ac:dyDescent="0.25">
      <c r="B29" s="15" t="str">
        <f>INDEX(Tabulka3892[quant],MATCH("x",Tabulka3892[value],0),1)</f>
        <v>C</v>
      </c>
      <c r="C29" s="15" t="str">
        <f>INDEX(Tabulka3892[unit],MATCH("x",Tabulka3892[value],0),1)</f>
        <v>ml</v>
      </c>
      <c r="D29" s="15">
        <f>((-1)*Tabulka3892[[#Totals],[add]])/Tabulka3892[[#Totals],[var]]</f>
        <v>-6</v>
      </c>
      <c r="E29" s="15">
        <f>-INDEX(Tabulka3892[sign],MATCH("x",Tabulka3892[value],0),1)</f>
        <v>-1</v>
      </c>
      <c r="F29" s="16">
        <f>SUM(Tabulka3892[add])</f>
        <v>6</v>
      </c>
      <c r="G29" s="15">
        <f>SUBTOTAL(109,Tabulka3892[var])</f>
        <v>1</v>
      </c>
      <c r="H29" s="15">
        <f>SUMPRODUCT(Tabulka3892[sign],Tabulka3892[res])</f>
        <v>0</v>
      </c>
    </row>
    <row r="31" spans="2:13" x14ac:dyDescent="0.25">
      <c r="B31" s="24" t="s">
        <v>85</v>
      </c>
    </row>
    <row r="32" spans="2:13" x14ac:dyDescent="0.25">
      <c r="B32" s="4" t="s">
        <v>84</v>
      </c>
      <c r="C32" s="6" t="s">
        <v>51</v>
      </c>
      <c r="D32" s="5" t="s">
        <v>29</v>
      </c>
      <c r="E32" s="5" t="s">
        <v>8</v>
      </c>
      <c r="F32" s="5" t="s">
        <v>9</v>
      </c>
      <c r="G32" s="5" t="s">
        <v>77</v>
      </c>
      <c r="H32" s="5" t="s">
        <v>83</v>
      </c>
      <c r="L32" s="1" t="s">
        <v>86</v>
      </c>
      <c r="M32" s="1" t="s">
        <v>88</v>
      </c>
    </row>
    <row r="33" spans="2:14" x14ac:dyDescent="0.25">
      <c r="B33" s="32" t="s">
        <v>79</v>
      </c>
      <c r="C33" s="32" t="str">
        <f>NaN</f>
        <v>-</v>
      </c>
      <c r="D33" s="32" t="s">
        <v>0</v>
      </c>
      <c r="E33" s="32">
        <v>1</v>
      </c>
      <c r="F33" s="32">
        <f>getSoucinovyClen</f>
        <v>1</v>
      </c>
      <c r="G33" s="32">
        <f>getVar</f>
        <v>1</v>
      </c>
      <c r="H33" s="32">
        <f>IF(ISNUMBER(Tabulka383[[#This Row],[value]]),Tabulka383[[#This Row],[value]],Tabulka383[[#Totals],[value]])</f>
        <v>8.3333333333333329E-2</v>
      </c>
      <c r="J33" s="1">
        <f>POWER(Tabulka383[[#This Row],[res]],Tabulka383[[#This Row],[exp]])</f>
        <v>8.3333333333333329E-2</v>
      </c>
      <c r="L33" s="1" t="str">
        <f>NaN</f>
        <v>-</v>
      </c>
      <c r="M33" s="1">
        <v>1</v>
      </c>
    </row>
    <row r="34" spans="2:14" ht="18" x14ac:dyDescent="0.25">
      <c r="B34" s="32" t="s">
        <v>80</v>
      </c>
      <c r="C34" s="32" t="s">
        <v>68</v>
      </c>
      <c r="D34" s="32" t="s">
        <v>0</v>
      </c>
      <c r="E34" s="32">
        <v>3</v>
      </c>
      <c r="F34" s="32">
        <f>getSoucinovyClen</f>
        <v>1</v>
      </c>
      <c r="G34" s="32">
        <f>getVar</f>
        <v>3</v>
      </c>
      <c r="H34" s="32">
        <f>IF(ISNUMBER(Tabulka383[[#This Row],[value]]),Tabulka383[[#This Row],[value]],Tabulka383[[#Totals],[value]])</f>
        <v>8.3333333333333329E-2</v>
      </c>
      <c r="J34" s="1">
        <f>POWER(Tabulka383[[#This Row],[res]],Tabulka383[[#This Row],[exp]])</f>
        <v>5.7870370370370367E-4</v>
      </c>
      <c r="L34" s="1" t="s">
        <v>87</v>
      </c>
      <c r="M34" s="1" t="str">
        <f>IF(L34="log",N34,"shit")</f>
        <v>nan</v>
      </c>
      <c r="N34" s="1" t="s">
        <v>89</v>
      </c>
    </row>
    <row r="35" spans="2:14" x14ac:dyDescent="0.25">
      <c r="B35" s="32" t="s">
        <v>81</v>
      </c>
      <c r="C35" s="32" t="s">
        <v>4</v>
      </c>
      <c r="D35" s="32" t="s">
        <v>0</v>
      </c>
      <c r="E35" s="32">
        <v>-2</v>
      </c>
      <c r="F35" s="32">
        <f>getSoucinovyClen</f>
        <v>1</v>
      </c>
      <c r="G35" s="32">
        <f>getVar</f>
        <v>-2</v>
      </c>
      <c r="H35" s="32">
        <f>IF(ISNUMBER(Tabulka383[[#This Row],[value]]),Tabulka383[[#This Row],[value]],Tabulka383[[#Totals],[value]])</f>
        <v>8.3333333333333329E-2</v>
      </c>
      <c r="J35" s="1">
        <f>POWER(Tabulka383[[#This Row],[res]],Tabulka383[[#This Row],[exp]])</f>
        <v>144</v>
      </c>
      <c r="M35" s="1" t="e">
        <f ca="1">newone(L35)</f>
        <v>#NAME?</v>
      </c>
    </row>
    <row r="36" spans="2:14" ht="17.25" x14ac:dyDescent="0.25">
      <c r="B36" s="32" t="s">
        <v>82</v>
      </c>
      <c r="C36" s="26" t="s">
        <v>72</v>
      </c>
      <c r="D36" s="32">
        <v>12</v>
      </c>
      <c r="E36" s="32">
        <v>2</v>
      </c>
      <c r="F36" s="33">
        <f>getSoucinovyClen</f>
        <v>144</v>
      </c>
      <c r="G36" s="32">
        <f>getVar</f>
        <v>0</v>
      </c>
      <c r="H36" s="32">
        <f>IF(ISNUMBER(Tabulka383[[#This Row],[value]]),Tabulka383[[#This Row],[value]],Tabulka383[[#Totals],[value]])</f>
        <v>12</v>
      </c>
      <c r="J36" s="1">
        <f>POWER(Tabulka383[[#This Row],[res]],Tabulka383[[#This Row],[exp]])</f>
        <v>144</v>
      </c>
    </row>
    <row r="37" spans="2:14" x14ac:dyDescent="0.25">
      <c r="B37" s="14" t="str">
        <f>INDEX(Tabulka383[quant],MATCH("x",Tabulka383[value],0),1)</f>
        <v>A</v>
      </c>
      <c r="C37" s="14" t="str">
        <f>INDEX(Tabulka383[unit],MATCH("x",Tabulka383[value],0),1)</f>
        <v>-</v>
      </c>
      <c r="D37" s="14">
        <f>POWER((Tabulka383[[#Totals],[mult]]),((-1)*(1/Tabulka383[[#Totals],[var]])))</f>
        <v>8.3333333333333329E-2</v>
      </c>
      <c r="E37" s="14">
        <f>-INDEX(Tabulka383[exp],MATCH("x",Tabulka383[value],0),1)</f>
        <v>-1</v>
      </c>
      <c r="F37" s="34">
        <f>PRODUCT(Tabulka383[mult])</f>
        <v>144</v>
      </c>
      <c r="G37" s="35">
        <f>SUBTOTAL(109,Tabulka383[var])</f>
        <v>2</v>
      </c>
      <c r="H37" s="14"/>
      <c r="J37" s="36">
        <f>PRODUCT(J33:J36)</f>
        <v>1</v>
      </c>
    </row>
  </sheetData>
  <conditionalFormatting sqref="D10">
    <cfRule type="expression" dxfId="18" priority="3">
      <formula>$D$10=error</formula>
    </cfRule>
  </conditionalFormatting>
  <conditionalFormatting sqref="P16">
    <cfRule type="expression" dxfId="17" priority="2">
      <formula>$P$16=error</formula>
    </cfRule>
  </conditionalFormatting>
  <conditionalFormatting sqref="D37">
    <cfRule type="expression" dxfId="16" priority="1">
      <formula>$D$10=error</formula>
    </cfRule>
  </conditionalFormatting>
  <pageMargins left="0.7" right="0.7" top="0.75" bottom="0.75" header="0.3" footer="0.3"/>
  <pageSetup paperSize="9" orientation="portrait" verticalDpi="0"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5"/>
  <sheetViews>
    <sheetView workbookViewId="0">
      <selection activeCell="A14" sqref="A14"/>
    </sheetView>
  </sheetViews>
  <sheetFormatPr defaultRowHeight="15" x14ac:dyDescent="0.25"/>
  <cols>
    <col min="1" max="1" width="9.5703125" customWidth="1"/>
    <col min="2" max="2" width="9.140625" customWidth="1"/>
    <col min="3" max="3" width="10.85546875" bestFit="1" customWidth="1"/>
    <col min="10" max="10" width="14" customWidth="1"/>
    <col min="11" max="11" width="10.85546875" customWidth="1"/>
    <col min="12" max="13" width="11.42578125" customWidth="1"/>
    <col min="14" max="15" width="12.28515625" customWidth="1"/>
    <col min="16" max="16" width="11.5703125" customWidth="1"/>
  </cols>
  <sheetData>
    <row r="3" spans="1:19" x14ac:dyDescent="0.25">
      <c r="A3" t="s">
        <v>32</v>
      </c>
      <c r="B3" t="s">
        <v>31</v>
      </c>
      <c r="C3" t="s">
        <v>29</v>
      </c>
    </row>
    <row r="4" spans="1:19" x14ac:dyDescent="0.25">
      <c r="A4" t="s">
        <v>10</v>
      </c>
      <c r="B4" t="s">
        <v>33</v>
      </c>
      <c r="C4" s="9">
        <v>1000000000</v>
      </c>
      <c r="J4" t="s">
        <v>32</v>
      </c>
      <c r="K4" t="s">
        <v>17</v>
      </c>
      <c r="L4" t="s">
        <v>26</v>
      </c>
      <c r="N4" t="s">
        <v>29</v>
      </c>
      <c r="O4" t="s">
        <v>30</v>
      </c>
      <c r="P4" t="s">
        <v>32</v>
      </c>
      <c r="Q4" t="s">
        <v>17</v>
      </c>
      <c r="R4" t="s">
        <v>29</v>
      </c>
    </row>
    <row r="5" spans="1:19" x14ac:dyDescent="0.25">
      <c r="A5" t="s">
        <v>11</v>
      </c>
      <c r="B5" t="s">
        <v>34</v>
      </c>
      <c r="C5" s="9">
        <v>1000000</v>
      </c>
      <c r="J5" t="e">
        <f>IF(ISERROR(#REF!),LEFT(#REF!,1),1)</f>
        <v>#REF!</v>
      </c>
      <c r="K5" t="e">
        <f>IF(ISERROR(#REF!),RIGHT(#REF!,LEN(#REF!)-1),1)</f>
        <v>#REF!</v>
      </c>
      <c r="L5" t="e">
        <f t="array" ref="L5">MATCH(TRUE,EXACT(K5,Tabulka5[symbol]),0)</f>
        <v>#N/A</v>
      </c>
      <c r="N5">
        <v>10</v>
      </c>
      <c r="O5" t="s">
        <v>23</v>
      </c>
    </row>
    <row r="6" spans="1:19" x14ac:dyDescent="0.25">
      <c r="A6" t="s">
        <v>12</v>
      </c>
      <c r="B6" t="s">
        <v>35</v>
      </c>
      <c r="C6" s="9">
        <v>1000</v>
      </c>
      <c r="J6" t="e">
        <f t="array" ref="J6">INDEX(C4:C10,MATCH(TRUE,EXACT(J5,A4:A10),0))</f>
        <v>#N/A</v>
      </c>
      <c r="K6" t="e">
        <f>J6*N5</f>
        <v>#N/A</v>
      </c>
      <c r="L6" t="e">
        <f>K6*INDEX(Tabulka5[mult.],L5,1)+INDEX(Tabulka5[add],L5,1)</f>
        <v>#N/A</v>
      </c>
    </row>
    <row r="7" spans="1:19" x14ac:dyDescent="0.25">
      <c r="A7" t="s">
        <v>13</v>
      </c>
      <c r="B7" t="str">
        <f>NaN</f>
        <v>-</v>
      </c>
      <c r="C7" s="9">
        <v>1</v>
      </c>
    </row>
    <row r="8" spans="1:19" x14ac:dyDescent="0.25">
      <c r="A8" t="s">
        <v>14</v>
      </c>
      <c r="B8" t="s">
        <v>36</v>
      </c>
      <c r="C8" s="9">
        <v>1E-3</v>
      </c>
    </row>
    <row r="9" spans="1:19" x14ac:dyDescent="0.25">
      <c r="A9" t="s">
        <v>15</v>
      </c>
      <c r="B9" t="s">
        <v>37</v>
      </c>
      <c r="C9" s="9">
        <v>9.9999999999999995E-7</v>
      </c>
    </row>
    <row r="10" spans="1:19" x14ac:dyDescent="0.25">
      <c r="A10" t="s">
        <v>16</v>
      </c>
      <c r="B10" t="s">
        <v>38</v>
      </c>
      <c r="C10" s="9">
        <v>1.0000000000000001E-9</v>
      </c>
    </row>
    <row r="12" spans="1:19" x14ac:dyDescent="0.25">
      <c r="J12" t="s">
        <v>51</v>
      </c>
      <c r="K12" t="s">
        <v>54</v>
      </c>
      <c r="L12" t="s">
        <v>53</v>
      </c>
      <c r="M12" t="s">
        <v>57</v>
      </c>
      <c r="N12" t="s">
        <v>54</v>
      </c>
      <c r="O12" t="s">
        <v>55</v>
      </c>
      <c r="P12" t="s">
        <v>56</v>
      </c>
      <c r="Q12" t="s">
        <v>58</v>
      </c>
      <c r="R12" t="s">
        <v>59</v>
      </c>
      <c r="S12" t="s">
        <v>60</v>
      </c>
    </row>
    <row r="13" spans="1:19" x14ac:dyDescent="0.25">
      <c r="A13" t="s">
        <v>17</v>
      </c>
      <c r="B13" t="s">
        <v>31</v>
      </c>
      <c r="C13" t="s">
        <v>32</v>
      </c>
      <c r="D13" t="s">
        <v>26</v>
      </c>
      <c r="E13" t="s">
        <v>25</v>
      </c>
      <c r="F13" t="s">
        <v>8</v>
      </c>
      <c r="G13" t="s">
        <v>27</v>
      </c>
      <c r="J13" t="s">
        <v>50</v>
      </c>
      <c r="K13" t="e">
        <f>MATCH(J13,Tabulka5[symbol],0)</f>
        <v>#N/A</v>
      </c>
      <c r="L13">
        <f t="array" ref="L13">IF(ISNUMBER(K13),NaN,MATCH(TRUE,EXACT(LEFT(J13,1),Tabulka6[prefix]),0))</f>
        <v>5</v>
      </c>
      <c r="M13" t="str">
        <f>RIGHT(J13,LEN(J13)-1)</f>
        <v>bar</v>
      </c>
      <c r="N13">
        <f>MATCH(M13,Tabulka5[symbol],0)</f>
        <v>11</v>
      </c>
      <c r="O13">
        <f>INDEX(Tabulka6[value],L13,1)</f>
        <v>1E-3</v>
      </c>
      <c r="P13" t="str">
        <f>INDEX(Tabulka5[basic],N13,1)</f>
        <v>Pa</v>
      </c>
      <c r="Q13">
        <f>INDEX(Tabulka5[mult.],N13,1)</f>
        <v>100000</v>
      </c>
      <c r="R13">
        <f>INDEX(Tabulka5[exp],N13,1)</f>
        <v>1</v>
      </c>
      <c r="S13">
        <f>INDEX(Tabulka5[add],N13,1)</f>
        <v>0</v>
      </c>
    </row>
    <row r="14" spans="1:19" x14ac:dyDescent="0.25">
      <c r="A14" t="s">
        <v>14</v>
      </c>
      <c r="B14" t="s">
        <v>39</v>
      </c>
      <c r="C14" t="b">
        <f>FALSE</f>
        <v>0</v>
      </c>
      <c r="D14" t="str">
        <f>NaN</f>
        <v>-</v>
      </c>
      <c r="E14">
        <v>1</v>
      </c>
      <c r="F14">
        <v>1</v>
      </c>
      <c r="G14">
        <v>0</v>
      </c>
      <c r="J14" t="s">
        <v>52</v>
      </c>
    </row>
    <row r="15" spans="1:19" x14ac:dyDescent="0.25">
      <c r="A15" t="s">
        <v>18</v>
      </c>
      <c r="B15" t="s">
        <v>40</v>
      </c>
      <c r="C15" t="b">
        <f>TRUE</f>
        <v>1</v>
      </c>
      <c r="D15" t="str">
        <f>NaN</f>
        <v>-</v>
      </c>
      <c r="E15">
        <v>1</v>
      </c>
      <c r="F15">
        <v>1</v>
      </c>
      <c r="G15">
        <v>0</v>
      </c>
      <c r="J15" t="s">
        <v>4</v>
      </c>
    </row>
    <row r="16" spans="1:19" x14ac:dyDescent="0.25">
      <c r="A16" t="s">
        <v>4</v>
      </c>
      <c r="B16" t="s">
        <v>41</v>
      </c>
      <c r="C16" t="b">
        <f>TRUE</f>
        <v>1</v>
      </c>
      <c r="D16" t="str">
        <f>NaN</f>
        <v>-</v>
      </c>
      <c r="E16">
        <v>1</v>
      </c>
      <c r="F16">
        <v>1</v>
      </c>
      <c r="G16">
        <v>0</v>
      </c>
    </row>
    <row r="17" spans="1:7" x14ac:dyDescent="0.25">
      <c r="A17" t="s">
        <v>19</v>
      </c>
      <c r="B17" t="s">
        <v>42</v>
      </c>
      <c r="C17" t="b">
        <f>FALSE</f>
        <v>0</v>
      </c>
      <c r="D17" t="str">
        <f>A16</f>
        <v>s</v>
      </c>
      <c r="E17">
        <v>60</v>
      </c>
      <c r="F17">
        <v>-2</v>
      </c>
      <c r="G17">
        <v>0</v>
      </c>
    </row>
    <row r="18" spans="1:7" x14ac:dyDescent="0.25">
      <c r="A18" t="s">
        <v>20</v>
      </c>
      <c r="B18" t="s">
        <v>43</v>
      </c>
      <c r="C18" t="b">
        <f>FALSE</f>
        <v>0</v>
      </c>
      <c r="D18" t="str">
        <f t="shared" ref="D18:D23" si="0">NaN</f>
        <v>-</v>
      </c>
      <c r="E18">
        <v>1</v>
      </c>
      <c r="F18">
        <v>1</v>
      </c>
      <c r="G18">
        <v>0</v>
      </c>
    </row>
    <row r="19" spans="1:7" x14ac:dyDescent="0.25">
      <c r="A19" t="s">
        <v>21</v>
      </c>
      <c r="B19" t="s">
        <v>21</v>
      </c>
      <c r="C19" t="b">
        <f>TRUE</f>
        <v>1</v>
      </c>
      <c r="D19" t="str">
        <f t="shared" si="0"/>
        <v>-</v>
      </c>
      <c r="E19">
        <v>1</v>
      </c>
      <c r="F19">
        <v>1</v>
      </c>
      <c r="G19">
        <v>0</v>
      </c>
    </row>
    <row r="20" spans="1:7" x14ac:dyDescent="0.25">
      <c r="A20" t="s">
        <v>12</v>
      </c>
      <c r="B20" t="s">
        <v>47</v>
      </c>
      <c r="C20" t="b">
        <f>TRUE</f>
        <v>1</v>
      </c>
      <c r="D20" t="str">
        <f t="shared" si="0"/>
        <v>-</v>
      </c>
      <c r="E20">
        <v>1</v>
      </c>
      <c r="F20">
        <v>1</v>
      </c>
      <c r="G20">
        <v>0</v>
      </c>
    </row>
    <row r="21" spans="1:7" x14ac:dyDescent="0.25">
      <c r="A21" t="s">
        <v>48</v>
      </c>
      <c r="B21" t="s">
        <v>49</v>
      </c>
      <c r="C21" t="b">
        <f>TRUE</f>
        <v>1</v>
      </c>
      <c r="D21" t="str">
        <f t="shared" si="0"/>
        <v>-</v>
      </c>
      <c r="E21">
        <v>1</v>
      </c>
      <c r="F21">
        <v>1</v>
      </c>
      <c r="G21">
        <v>0</v>
      </c>
    </row>
    <row r="22" spans="1:7" x14ac:dyDescent="0.25">
      <c r="A22" t="s">
        <v>22</v>
      </c>
      <c r="B22" t="s">
        <v>44</v>
      </c>
      <c r="C22" t="b">
        <f>TRUE</f>
        <v>1</v>
      </c>
      <c r="D22" t="str">
        <f t="shared" si="0"/>
        <v>-</v>
      </c>
      <c r="E22">
        <v>1</v>
      </c>
      <c r="F22">
        <v>1</v>
      </c>
      <c r="G22">
        <v>0</v>
      </c>
    </row>
    <row r="23" spans="1:7" x14ac:dyDescent="0.25">
      <c r="A23" t="s">
        <v>23</v>
      </c>
      <c r="B23" t="s">
        <v>45</v>
      </c>
      <c r="C23" t="b">
        <f>TRUE</f>
        <v>1</v>
      </c>
      <c r="D23" t="str">
        <f t="shared" si="0"/>
        <v>-</v>
      </c>
      <c r="E23">
        <v>1</v>
      </c>
      <c r="F23">
        <v>1</v>
      </c>
      <c r="G23">
        <v>0</v>
      </c>
    </row>
    <row r="24" spans="1:7" x14ac:dyDescent="0.25">
      <c r="A24" t="s">
        <v>24</v>
      </c>
      <c r="B24" t="s">
        <v>24</v>
      </c>
      <c r="C24" t="b">
        <f>TRUE</f>
        <v>1</v>
      </c>
      <c r="D24" t="str">
        <f>A23</f>
        <v>Pa</v>
      </c>
      <c r="E24" s="9">
        <v>100000</v>
      </c>
      <c r="F24">
        <v>1</v>
      </c>
      <c r="G24">
        <v>0</v>
      </c>
    </row>
    <row r="25" spans="1:7" x14ac:dyDescent="0.25">
      <c r="A25" t="s">
        <v>28</v>
      </c>
      <c r="B25" t="s">
        <v>46</v>
      </c>
      <c r="C25" t="b">
        <f>FALSE</f>
        <v>0</v>
      </c>
      <c r="D25" t="str">
        <f>A15</f>
        <v>K</v>
      </c>
      <c r="E25">
        <v>1</v>
      </c>
      <c r="F25">
        <v>1</v>
      </c>
      <c r="G25">
        <v>-273.14999999999998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definice</vt:lpstr>
      <vt:lpstr>funkce</vt:lpstr>
      <vt:lpstr>jednotky</vt:lpstr>
      <vt:lpstr>navod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2017-07-10T01:41:38Z</dcterms:modified>
</cp:coreProperties>
</file>