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APW3" sheetId="3" r:id="rId1"/>
    <sheet name="APW4" sheetId="4" r:id="rId2"/>
    <sheet name="RO" sheetId="5" r:id="rId3"/>
    <sheet name="ionexy" sheetId="7" r:id="rId4"/>
    <sheet name="chemikálie" sheetId="8" r:id="rId5"/>
    <sheet name="ostatní" sheetId="6" r:id="rId6"/>
    <sheet name="výpočty" sheetId="1" r:id="rId7"/>
    <sheet name="úpravy" sheetId="2" r:id="rId8"/>
  </sheets>
  <definedNames>
    <definedName name="NaN">"-"</definedName>
    <definedName name="null">""</definedName>
  </definedNames>
  <calcPr calcId="145621" refMode="R1C1"/>
</workbook>
</file>

<file path=xl/calcChain.xml><?xml version="1.0" encoding="utf-8"?>
<calcChain xmlns="http://schemas.openxmlformats.org/spreadsheetml/2006/main">
  <c r="B13" i="8" l="1"/>
  <c r="B10" i="8"/>
  <c r="B12" i="8"/>
  <c r="B11" i="8"/>
  <c r="C5" i="8"/>
  <c r="C4" i="8"/>
  <c r="F14" i="8" l="1"/>
  <c r="G2" i="8"/>
  <c r="C2" i="8"/>
  <c r="B14" i="8"/>
  <c r="B20" i="4" l="1"/>
  <c r="B11" i="4"/>
  <c r="G21" i="4"/>
  <c r="G20" i="4"/>
  <c r="G18" i="4"/>
  <c r="F18" i="4"/>
  <c r="F24" i="4" s="1"/>
  <c r="F25" i="4" s="1"/>
  <c r="G7" i="4"/>
  <c r="G6" i="4"/>
  <c r="G4" i="4"/>
  <c r="F4" i="4"/>
  <c r="F14" i="4" s="1"/>
  <c r="B32" i="4"/>
  <c r="C28" i="4"/>
  <c r="B28" i="4"/>
  <c r="C20" i="4"/>
  <c r="B25" i="4"/>
  <c r="C11" i="4"/>
  <c r="B17" i="4"/>
  <c r="B33" i="4" l="1"/>
  <c r="B7" i="4"/>
  <c r="C4" i="4"/>
  <c r="C26" i="5"/>
  <c r="B26" i="5"/>
  <c r="C22" i="5"/>
  <c r="B18" i="5"/>
  <c r="C14" i="5"/>
  <c r="B9" i="5"/>
  <c r="C5" i="5"/>
  <c r="G21" i="3"/>
  <c r="G20" i="3"/>
  <c r="G18" i="3"/>
  <c r="F18" i="3"/>
  <c r="F24" i="3" s="1"/>
  <c r="F25" i="3" s="1"/>
  <c r="G7" i="3"/>
  <c r="G6" i="3"/>
  <c r="G4" i="3"/>
  <c r="F4" i="3"/>
  <c r="F14" i="3" s="1"/>
  <c r="B32" i="3"/>
  <c r="B33" i="3" s="1"/>
  <c r="C28" i="3"/>
  <c r="B28" i="3"/>
  <c r="C20" i="3"/>
  <c r="B20" i="3"/>
  <c r="B25" i="3" s="1"/>
  <c r="C11" i="3"/>
  <c r="B11" i="3"/>
  <c r="B17" i="3" s="1"/>
  <c r="B7" i="3"/>
  <c r="C4" i="3"/>
  <c r="O19" i="1" l="1"/>
  <c r="O25" i="1" s="1"/>
  <c r="O26" i="1" s="1"/>
  <c r="P19" i="1"/>
  <c r="P22" i="1"/>
  <c r="P21" i="1"/>
  <c r="O5" i="1"/>
  <c r="O15" i="1" s="1"/>
  <c r="P5" i="1"/>
  <c r="P7" i="1"/>
  <c r="P8" i="1"/>
  <c r="H31" i="1"/>
  <c r="G31" i="1"/>
  <c r="G35" i="1"/>
  <c r="G28" i="1"/>
  <c r="G23" i="1"/>
  <c r="H23" i="1"/>
  <c r="H13" i="1"/>
  <c r="G13" i="1"/>
  <c r="G19" i="1" s="1"/>
  <c r="K8" i="1"/>
  <c r="L5" i="1"/>
  <c r="G8" i="1"/>
  <c r="H5" i="1"/>
  <c r="D27" i="1"/>
  <c r="C27" i="1"/>
  <c r="D23" i="1"/>
  <c r="D15" i="1"/>
  <c r="D6" i="1"/>
  <c r="C19" i="1"/>
  <c r="G36" i="1" l="1"/>
  <c r="C10" i="1"/>
</calcChain>
</file>

<file path=xl/comments1.xml><?xml version="1.0" encoding="utf-8"?>
<comments xmlns="http://schemas.openxmlformats.org/spreadsheetml/2006/main">
  <authors>
    <author>Autor</author>
  </authors>
  <commentList>
    <comment ref="A5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vzorku ze spodního proudu hydrocyklonu</t>
        </r>
      </text>
    </comment>
    <comment ref="E5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koncentrace síranu</t>
        </r>
      </text>
    </comment>
    <comment ref="A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doba plnění nádoby o objemu V</t>
        </r>
      </text>
    </commen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relativní molekulová hmotnost síranu</t>
        </r>
      </text>
    </comment>
    <comment ref="E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relativní molekulová hmotnost železa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hustota síranu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odpovídající rozdílu hladin v dávkovacím válci </t>
        </r>
        <r>
          <rPr>
            <sz val="9"/>
            <color indexed="81"/>
            <rFont val="Calibri"/>
            <family val="2"/>
            <charset val="238"/>
          </rPr>
          <t>Δ</t>
        </r>
        <r>
          <rPr>
            <sz val="9"/>
            <color indexed="81"/>
            <rFont val="Tahoma"/>
            <family val="2"/>
            <charset val="238"/>
          </rPr>
          <t>h = 1 cm</t>
        </r>
      </text>
    </comment>
    <comment ref="E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průtok surové vody (součet průtoku na oba čiřiče APW3)</t>
        </r>
      </text>
    </comment>
    <comment ref="E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horní hladina v dávkovacím válci</t>
        </r>
      </text>
    </comment>
    <comment ref="A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hmotnost prázdného odměrného válce</t>
        </r>
      </text>
    </comment>
    <comment ref="E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dolní hladina v dávkovacím válci</t>
        </r>
      </text>
    </comment>
    <comment ref="A1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celková hmotnost, tj. hmotnost válce naplněného vzorkem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čas za který došlo k úbytku síranu mezi horní a spodní hladinou v dávkovacím válci</t>
        </r>
      </text>
    </comment>
    <comment ref="A1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vzorku</t>
        </r>
      </text>
    </comment>
    <comment ref="A15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předpokládaný průměrný průtok surové vody Actiflo čiřičem</t>
        </r>
      </text>
    </comment>
    <comment ref="A1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doba plnění odměrného válce vzorkem</t>
        </r>
      </text>
    </comment>
    <comment ref="E1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koncentrace síranu</t>
        </r>
      </text>
    </comment>
    <comment ref="E2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relativní molekulová hmotnost síranu</t>
        </r>
      </text>
    </comment>
    <comment ref="A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vzorku</t>
        </r>
      </text>
    </comment>
    <comment ref="E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relativní molekulová hmotnost železa</t>
        </r>
      </text>
    </comment>
    <comment ref="A2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odsazeného mikropísku</t>
        </r>
      </text>
    </comment>
    <comment ref="E2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hustota síranu</t>
        </r>
      </text>
    </comment>
    <comment ref="A2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předpokládaný průměrný průtok surové vody Actiflo čiřičem</t>
        </r>
      </text>
    </comment>
    <comment ref="E2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požadovaná dávka</t>
        </r>
      </text>
    </comment>
    <comment ref="A2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doba plnění odměrného válce vzorkem</t>
        </r>
      </text>
    </comment>
    <comment ref="A2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koncentrace písku v systému Actiflo aktuálně stanovená</t>
        </r>
      </text>
    </comment>
    <comment ref="A3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koncentrace písku požadovaná v systému Actiflo</t>
        </r>
      </text>
    </comment>
    <comment ref="A3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předpokládaný průměrný průtok surové vody Actiflo čiřičem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5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vzorku ze spodního proudu hydrocyklonu</t>
        </r>
      </text>
    </comment>
    <comment ref="E5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koncentrace síranu</t>
        </r>
      </text>
    </comment>
    <comment ref="A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doba plnění nádoby o objemu V</t>
        </r>
      </text>
    </commen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relativní molekulová hmotnost síranu</t>
        </r>
      </text>
    </comment>
    <comment ref="E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relativní molekulová hmotnost železa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hustota síranu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odpovídající rozdílu hladin v dávkovacím válci </t>
        </r>
        <r>
          <rPr>
            <sz val="9"/>
            <color indexed="81"/>
            <rFont val="Calibri"/>
            <family val="2"/>
            <charset val="238"/>
          </rPr>
          <t>Δ</t>
        </r>
        <r>
          <rPr>
            <sz val="9"/>
            <color indexed="81"/>
            <rFont val="Tahoma"/>
            <family val="2"/>
            <charset val="238"/>
          </rPr>
          <t>h = 1 cm</t>
        </r>
      </text>
    </comment>
    <comment ref="E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průtok surové vody (součet průtoku na oba čiřiče APW3)</t>
        </r>
      </text>
    </comment>
    <comment ref="E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horní hladina v dávkovacím válci</t>
        </r>
      </text>
    </comment>
    <comment ref="A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hmotnost prázdného odměrného válce</t>
        </r>
      </text>
    </comment>
    <comment ref="E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dolní hladina v dávkovacím válci</t>
        </r>
      </text>
    </comment>
    <comment ref="A1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celková hmotnost, tj. hmotnost válce naplněného vzorkem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čas za který došlo k úbytku síranu mezi horní a spodní hladinou v dávkovacím válci</t>
        </r>
      </text>
    </comment>
    <comment ref="A1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vzorku</t>
        </r>
      </text>
    </comment>
    <comment ref="A15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předpokládaný průměrný průtok surové vody Actiflo čiřičem</t>
        </r>
      </text>
    </comment>
    <comment ref="A1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doba plnění odměrného válce vzorkem</t>
        </r>
      </text>
    </comment>
    <comment ref="E1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koncentrace síranu</t>
        </r>
      </text>
    </comment>
    <comment ref="E2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relativní molekulová hmotnost síranu</t>
        </r>
      </text>
    </comment>
    <comment ref="A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vzorku</t>
        </r>
      </text>
    </comment>
    <comment ref="E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relativní molekulová hmotnost železa</t>
        </r>
      </text>
    </comment>
    <comment ref="A2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odsazeného mikropísku</t>
        </r>
      </text>
    </comment>
    <comment ref="E2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hustota síranu</t>
        </r>
      </text>
    </comment>
    <comment ref="A2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předpokládaný průměrný průtok surové vody Actiflo čiřičem</t>
        </r>
      </text>
    </comment>
    <comment ref="E2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požadovaná dávka</t>
        </r>
      </text>
    </comment>
    <comment ref="A2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doba plnění odměrného válce vzorkem</t>
        </r>
      </text>
    </comment>
    <comment ref="A2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koncentrace písku v systému Actiflo aktuálně stanovená</t>
        </r>
      </text>
    </comment>
    <comment ref="A3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koncentrace písku požadovaná v systému Actiflo</t>
        </r>
      </text>
    </comment>
    <comment ref="A3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předpokládaný průměrný průtok surové vody Actiflo čiřičem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hustota biocidu</t>
        </r>
      </text>
    </comment>
    <comment ref="A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průtok FV</t>
        </r>
      </text>
    </comment>
    <comment ref="A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biocidu vydávkovaného do odměrného válce</t>
        </r>
      </text>
    </comment>
    <comment ref="A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doba plnění nádoby o objemu V</t>
        </r>
      </text>
    </comment>
    <comment ref="A1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hustota antiscalantu</t>
        </r>
      </text>
    </comment>
    <comment ref="A15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celkový průtok vody na RO</t>
        </r>
      </text>
    </comment>
    <comment ref="A1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biocidu vydávkovaného do odměrného válce</t>
        </r>
      </text>
    </comment>
    <comment ref="A1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doba plnění nádoby o objemu V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pozn.: pokud je koncentrace c0 jiná než jaká vznikne přípravou nového roztoku, vzniká při výpočtu chyba, která je tím větší, čím větší je zbytkový objem V0</t>
        </r>
      </text>
    </comment>
    <comment ref="A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průměr ŘN TNF</t>
        </r>
      </text>
    </comment>
    <comment ref="A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Rel. molekulová hmotnost Na3PO4.12H2O</t>
        </r>
      </text>
    </comment>
    <comment ref="A5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rel. molekulová hmotnost P2O5</t>
        </r>
      </text>
    </comment>
    <comment ref="A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hmotnost fosfátu (Na3PO4.12H2O) použitého na přípravu roztoku (na 1 ŘN)</t>
        </r>
      </text>
    </commen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hmotnost fosfátu (Na3PO4.12H2O) použitého na přípravu roztoku</t>
        </r>
      </text>
    </comment>
    <comment ref="A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výška hladiny v dané ŘN po dokončení přípravy roztoku</t>
        </r>
      </text>
    </comment>
    <comment ref="E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celkový objem doplněný do ŘN při přípravě roztoku</t>
        </r>
      </text>
    </comment>
    <comment ref="A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výška hladiny v dané ŘN před zahájením přípravy nového roztoku</t>
        </r>
      </text>
    </comment>
    <comment ref="A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původní koncentrace P2O5 v dané ŘN (v objemu o výšce v</t>
        </r>
        <r>
          <rPr>
            <vertAlign val="subscript"/>
            <sz val="9"/>
            <color indexed="81"/>
            <rFont val="Tahoma"/>
            <family val="2"/>
            <charset val="238"/>
          </rPr>
          <t>0</t>
        </r>
        <r>
          <rPr>
            <sz val="9"/>
            <color indexed="81"/>
            <rFont val="Tahoma"/>
            <family val="2"/>
            <charset val="238"/>
          </rPr>
          <t>)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doba plnění nádoby o objemu V</t>
        </r>
      </text>
    </comment>
    <comment ref="A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hm. zlomek obsahu P2O5 v Na3PO4.12H2O</t>
        </r>
      </text>
    </comment>
    <comment ref="A1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koncentrace P2O5 v objemu daném rozdílem hladin v - v</t>
        </r>
        <r>
          <rPr>
            <vertAlign val="subscript"/>
            <sz val="9"/>
            <color indexed="81"/>
            <rFont val="Tahoma"/>
            <family val="2"/>
            <charset val="238"/>
          </rPr>
          <t>0</t>
        </r>
      </text>
    </comment>
    <comment ref="A1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koncentrace P2O5 v ŘN po přípravě nového roztoku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hustota biocidu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vzorku ze spodního proudu hydrocyklonu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vzorku ze spodního proudu hydrocyklonu</t>
        </r>
      </text>
    </comment>
    <comment ref="N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koncentrace síranu</t>
        </r>
      </text>
    </comment>
    <comment ref="B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průtok FV</t>
        </r>
      </text>
    </comment>
    <comment ref="F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doba plnění nádoby o objemu V</t>
        </r>
      </text>
    </comment>
    <comment ref="J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doba plnění nádoby o objemu V</t>
        </r>
      </text>
    </comment>
    <comment ref="N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relativní molekulová hmotnost síranu</t>
        </r>
      </text>
    </comment>
    <comment ref="B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biocidu vydávkovaného do odměrného válce</t>
        </r>
      </text>
    </comment>
    <comment ref="N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relativní molekulová hmotnost železa</t>
        </r>
      </text>
    </comment>
    <comment ref="B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doba plnění nádoby o objemu V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hustota síranu</t>
        </r>
      </text>
    </comment>
    <comment ref="N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odpovídající rozdílu hladin v dávkovacím válci </t>
        </r>
        <r>
          <rPr>
            <sz val="9"/>
            <color indexed="81"/>
            <rFont val="Calibri"/>
            <family val="2"/>
            <charset val="238"/>
          </rPr>
          <t>Δ</t>
        </r>
        <r>
          <rPr>
            <sz val="9"/>
            <color indexed="81"/>
            <rFont val="Tahoma"/>
            <family val="2"/>
            <charset val="238"/>
          </rPr>
          <t>h = 1 cm</t>
        </r>
      </text>
    </comment>
    <comment ref="N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průtok surové vody (součet průtoku na oba čiřiče APW3)</t>
        </r>
      </text>
    </comment>
    <comment ref="N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horní hladina v dávkovacím válci</t>
        </r>
      </text>
    </comment>
    <comment ref="J1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hmotnost prázdného odměrného válce</t>
        </r>
      </text>
    </comment>
    <comment ref="N1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dolní hladina v dávkovacím válci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hustota antiscalantu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hmotnost prázdného odměrného válce</t>
        </r>
      </text>
    </comment>
    <comment ref="J1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celková hmotnost, tj. hmotnost válce naplněného vzorkem</t>
        </r>
      </text>
    </comment>
    <comment ref="N1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čas za který došlo k úbytku síranu mezi horní a spodní hladinou v dávkovacím válci</t>
        </r>
      </text>
    </comment>
    <comment ref="F15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celková hmotnost, tj. hmotnost válce naplněného vzorkem</t>
        </r>
      </text>
    </comment>
    <comment ref="J15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vzorku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celkový průtok vody na RO</t>
        </r>
      </text>
    </comment>
    <comment ref="F1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vzorku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předpokládaný průměrný průtok surové vody Actiflo čiřičem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biocidu vydávkovaného do odměrného válce</t>
        </r>
      </text>
    </comment>
    <comment ref="F1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předpokládaný průměrný průtok surové vody Actiflo čiřičem</t>
        </r>
      </text>
    </comment>
    <comment ref="J1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doba plnění odměrného válce vzorkem</t>
        </r>
      </text>
    </comment>
    <comment ref="B1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doba plnění nádoby o objemu V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doba plnění odměrného válce vzorkem</t>
        </r>
      </text>
    </comment>
    <comment ref="N2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koncentrace síranu</t>
        </r>
      </text>
    </comment>
    <comment ref="J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hmotnost prázdného odměrného válce</t>
        </r>
      </text>
    </comment>
    <comment ref="N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relativní molekulová hmotnost síranu</t>
        </r>
      </text>
    </comment>
    <comment ref="J2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celková hmotnost, tj. hmotnost válce naplněného vzorkem</t>
        </r>
      </text>
    </comment>
    <comment ref="N2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relativní molekulová hmotnost železa</t>
        </r>
      </text>
    </comment>
    <comment ref="J2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vzorku</t>
        </r>
      </text>
    </comment>
    <comment ref="N2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hustota síranu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vzorku</t>
        </r>
      </text>
    </comment>
    <comment ref="J2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průtok SV čiřičem</t>
        </r>
      </text>
    </comment>
    <comment ref="N2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požadovaná dávka</t>
        </r>
      </text>
    </comment>
    <comment ref="F25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objem odsazeného mikropísku</t>
        </r>
      </text>
    </comment>
    <comment ref="J25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doba plnění odměrného válce vzorkem</t>
        </r>
      </text>
    </comment>
    <comment ref="F2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předpokládaný průměrný průtok surové vody Actiflo čiřičem</t>
        </r>
      </text>
    </comment>
    <comment ref="F2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doba plnění odměrného válce vzorkem</t>
        </r>
      </text>
    </comment>
    <comment ref="F3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koncentrace písku v systému Actiflo aktuálně stanovená</t>
        </r>
      </text>
    </comment>
    <comment ref="F3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koncentrace písku požadovaná v systému Actiflo</t>
        </r>
      </text>
    </comment>
    <comment ref="F3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předpokládaný průměrný průtok surové vody Actiflo čiřičem</t>
        </r>
      </text>
    </comment>
  </commentList>
</comments>
</file>

<file path=xl/sharedStrings.xml><?xml version="1.0" encoding="utf-8"?>
<sst xmlns="http://schemas.openxmlformats.org/spreadsheetml/2006/main" count="380" uniqueCount="85">
  <si>
    <t>ρ</t>
  </si>
  <si>
    <t>k</t>
  </si>
  <si>
    <t>průtok</t>
  </si>
  <si>
    <t>d</t>
  </si>
  <si>
    <t>SDI</t>
  </si>
  <si>
    <t>biocid</t>
  </si>
  <si>
    <t>t1</t>
  </si>
  <si>
    <t>t2</t>
  </si>
  <si>
    <t>T</t>
  </si>
  <si>
    <t>a) pomocí analytických předvážek</t>
  </si>
  <si>
    <t>V</t>
  </si>
  <si>
    <t>m</t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</si>
  <si>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c</t>
    </r>
  </si>
  <si>
    <t>t</t>
  </si>
  <si>
    <t>l</t>
  </si>
  <si>
    <t>s</t>
  </si>
  <si>
    <r>
      <t>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</si>
  <si>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t>antiscalant</t>
  </si>
  <si>
    <t>ml</t>
  </si>
  <si>
    <r>
      <t>g.dm</t>
    </r>
    <r>
      <rPr>
        <vertAlign val="superscript"/>
        <sz val="11"/>
        <color theme="1"/>
        <rFont val="Calibri"/>
        <family val="2"/>
        <charset val="238"/>
        <scheme val="minor"/>
      </rPr>
      <t>-3</t>
    </r>
  </si>
  <si>
    <r>
      <t>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>.h</t>
    </r>
    <r>
      <rPr>
        <vertAlign val="superscript"/>
        <sz val="11"/>
        <color theme="1"/>
        <rFont val="Calibri"/>
        <family val="2"/>
        <charset val="238"/>
        <scheme val="minor"/>
      </rPr>
      <t>-1</t>
    </r>
  </si>
  <si>
    <r>
      <t>mg.dm</t>
    </r>
    <r>
      <rPr>
        <b/>
        <vertAlign val="superscript"/>
        <sz val="11"/>
        <color theme="1"/>
        <rFont val="Calibri"/>
        <family val="2"/>
        <charset val="238"/>
        <scheme val="minor"/>
      </rPr>
      <t>-3</t>
    </r>
  </si>
  <si>
    <t>Reverzní osmóza</t>
  </si>
  <si>
    <t>zaokrouhlování výsledků</t>
  </si>
  <si>
    <t>APW3 - mikropísek</t>
  </si>
  <si>
    <t>APW4 - mikropísek</t>
  </si>
  <si>
    <t>doplňování mikropísku</t>
  </si>
  <si>
    <t>APW3 - síran</t>
  </si>
  <si>
    <t>c</t>
  </si>
  <si>
    <t>průtok spodního proudu hydrocyklonu</t>
  </si>
  <si>
    <r>
      <t>g.dm</t>
    </r>
    <r>
      <rPr>
        <b/>
        <vertAlign val="superscript"/>
        <sz val="11"/>
        <color theme="1"/>
        <rFont val="Calibri"/>
        <family val="2"/>
        <charset val="238"/>
        <scheme val="minor"/>
      </rPr>
      <t>-3</t>
    </r>
  </si>
  <si>
    <r>
      <t>m</t>
    </r>
    <r>
      <rPr>
        <b/>
        <vertAlign val="superscript"/>
        <sz val="11"/>
        <color theme="1"/>
        <rFont val="Calibri"/>
        <family val="2"/>
        <charset val="238"/>
        <scheme val="minor"/>
      </rPr>
      <t>3</t>
    </r>
    <r>
      <rPr>
        <b/>
        <sz val="11"/>
        <color theme="1"/>
        <rFont val="Calibri"/>
        <family val="2"/>
        <charset val="238"/>
        <scheme val="minor"/>
      </rPr>
      <t>.h</t>
    </r>
    <r>
      <rPr>
        <b/>
        <vertAlign val="superscript"/>
        <sz val="11"/>
        <color theme="1"/>
        <rFont val="Calibri"/>
        <family val="2"/>
        <charset val="238"/>
        <scheme val="minor"/>
      </rPr>
      <t>-1</t>
    </r>
  </si>
  <si>
    <t>a) bez analytických předvážek</t>
  </si>
  <si>
    <t>min</t>
  </si>
  <si>
    <t>g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</si>
  <si>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c</t>
    </r>
  </si>
  <si>
    <t>mikropísek - koncentrace</t>
  </si>
  <si>
    <r>
      <t>Q</t>
    </r>
    <r>
      <rPr>
        <vertAlign val="subscript"/>
        <sz val="11"/>
        <color theme="1"/>
        <rFont val="Calibri"/>
        <family val="2"/>
        <charset val="238"/>
        <scheme val="minor"/>
      </rPr>
      <t>SV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</si>
  <si>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akt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</si>
  <si>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pož</t>
    </r>
  </si>
  <si>
    <r>
      <t>m</t>
    </r>
    <r>
      <rPr>
        <b/>
        <vertAlign val="subscript"/>
        <sz val="11"/>
        <color theme="1"/>
        <rFont val="Calibri"/>
        <family val="2"/>
        <charset val="238"/>
        <scheme val="minor"/>
      </rPr>
      <t>doplň</t>
    </r>
  </si>
  <si>
    <t>kg</t>
  </si>
  <si>
    <t>record store názvy z názvů tříd</t>
  </si>
  <si>
    <t>síran - ověření dávky</t>
  </si>
  <si>
    <t>b) bez analytických předvážek</t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</si>
  <si>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>h</t>
    </r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</si>
  <si>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>d</t>
    </r>
  </si>
  <si>
    <r>
      <rPr>
        <sz val="11"/>
        <color theme="1"/>
        <rFont val="Calibri"/>
        <family val="2"/>
        <charset val="238"/>
      </rPr>
      <t>Δ</t>
    </r>
    <r>
      <rPr>
        <sz val="11"/>
        <color theme="1"/>
        <rFont val="Calibri"/>
        <family val="2"/>
      </rPr>
      <t>V</t>
    </r>
  </si>
  <si>
    <t>mm</t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</si>
  <si>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r</t>
    </r>
  </si>
  <si>
    <r>
      <t>g.cm</t>
    </r>
    <r>
      <rPr>
        <vertAlign val="superscript"/>
        <sz val="11"/>
        <color theme="1"/>
        <rFont val="Calibri"/>
        <family val="2"/>
        <charset val="238"/>
        <scheme val="minor"/>
      </rPr>
      <t>-3</t>
    </r>
  </si>
  <si>
    <t>%</t>
  </si>
  <si>
    <t>w</t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</si>
  <si>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H</t>
    </r>
  </si>
  <si>
    <r>
      <t>(M</t>
    </r>
    <r>
      <rPr>
        <vertAlign val="subscript"/>
        <sz val="11"/>
        <color theme="1"/>
        <rFont val="Calibri"/>
        <family val="2"/>
        <charset val="238"/>
        <scheme val="minor"/>
      </rPr>
      <t>r</t>
    </r>
    <r>
      <rPr>
        <sz val="11"/>
        <color theme="1"/>
        <rFont val="Calibri"/>
        <family val="2"/>
        <charset val="238"/>
        <scheme val="minor"/>
      </rPr>
      <t>)</t>
    </r>
    <r>
      <rPr>
        <vertAlign val="subscript"/>
        <sz val="11"/>
        <color theme="1"/>
        <rFont val="Calibri"/>
        <family val="2"/>
        <charset val="238"/>
        <scheme val="minor"/>
      </rPr>
      <t>Fe</t>
    </r>
  </si>
  <si>
    <t>síran - nastavení dávky</t>
  </si>
  <si>
    <r>
      <t>Q</t>
    </r>
    <r>
      <rPr>
        <vertAlign val="subscript"/>
        <sz val="11"/>
        <color theme="1"/>
        <rFont val="Calibri"/>
        <family val="2"/>
        <charset val="238"/>
        <scheme val="minor"/>
      </rPr>
      <t>FV</t>
    </r>
  </si>
  <si>
    <r>
      <t>dm</t>
    </r>
    <r>
      <rPr>
        <b/>
        <vertAlign val="superscript"/>
        <sz val="11"/>
        <color theme="1"/>
        <rFont val="Calibri"/>
        <family val="2"/>
        <charset val="238"/>
        <scheme val="minor"/>
      </rPr>
      <t>3</t>
    </r>
    <r>
      <rPr>
        <b/>
        <sz val="11"/>
        <color theme="1"/>
        <rFont val="Calibri"/>
        <family val="2"/>
        <charset val="238"/>
        <scheme val="minor"/>
      </rPr>
      <t>.m</t>
    </r>
    <r>
      <rPr>
        <b/>
        <vertAlign val="superscript"/>
        <sz val="11"/>
        <color theme="1"/>
        <rFont val="Calibri"/>
        <family val="2"/>
        <charset val="238"/>
        <scheme val="minor"/>
      </rPr>
      <t>-3</t>
    </r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</si>
  <si>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pož</t>
    </r>
  </si>
  <si>
    <r>
      <t>mg.dm</t>
    </r>
    <r>
      <rPr>
        <vertAlign val="superscript"/>
        <sz val="11"/>
        <color theme="1"/>
        <rFont val="Calibri"/>
        <family val="2"/>
        <charset val="238"/>
        <scheme val="minor"/>
      </rPr>
      <t>-3</t>
    </r>
  </si>
  <si>
    <t>z</t>
  </si>
  <si>
    <t>přidat reset ke všem měřením</t>
  </si>
  <si>
    <t>ověření POF na 2 des místa!</t>
  </si>
  <si>
    <t>měření konc P2O5 dle pH</t>
  </si>
  <si>
    <t>pH dle konc. NH3</t>
  </si>
  <si>
    <t>APW4 - síran</t>
  </si>
  <si>
    <r>
      <t>m</t>
    </r>
    <r>
      <rPr>
        <vertAlign val="subscript"/>
        <sz val="11"/>
        <rFont val="Calibri"/>
        <family val="2"/>
        <charset val="238"/>
        <scheme val="minor"/>
      </rPr>
      <t>c</t>
    </r>
  </si>
  <si>
    <r>
      <t>Q</t>
    </r>
    <r>
      <rPr>
        <vertAlign val="subscript"/>
        <sz val="11"/>
        <rFont val="Calibri"/>
        <family val="2"/>
        <charset val="238"/>
        <scheme val="minor"/>
      </rPr>
      <t>SV</t>
    </r>
  </si>
  <si>
    <r>
      <t>m</t>
    </r>
    <r>
      <rPr>
        <vertAlign val="superscript"/>
        <sz val="11"/>
        <rFont val="Calibri"/>
        <family val="2"/>
        <charset val="238"/>
        <scheme val="minor"/>
      </rPr>
      <t>3</t>
    </r>
    <r>
      <rPr>
        <sz val="11"/>
        <rFont val="Calibri"/>
        <family val="2"/>
        <charset val="238"/>
        <scheme val="minor"/>
      </rPr>
      <t>.h</t>
    </r>
    <r>
      <rPr>
        <vertAlign val="superscript"/>
        <sz val="11"/>
        <rFont val="Calibri"/>
        <family val="2"/>
        <charset val="238"/>
        <scheme val="minor"/>
      </rPr>
      <t>-1</t>
    </r>
  </si>
  <si>
    <r>
      <t>g.dm</t>
    </r>
    <r>
      <rPr>
        <b/>
        <vertAlign val="superscript"/>
        <sz val="11"/>
        <rFont val="Calibri"/>
        <family val="2"/>
        <charset val="238"/>
        <scheme val="minor"/>
      </rPr>
      <t>-3</t>
    </r>
  </si>
  <si>
    <r>
      <t>V</t>
    </r>
    <r>
      <rPr>
        <vertAlign val="subscript"/>
        <sz val="11"/>
        <rFont val="Calibri"/>
        <family val="2"/>
        <charset val="238"/>
        <scheme val="minor"/>
      </rPr>
      <t>c</t>
    </r>
  </si>
  <si>
    <t>koncentrace P2O5 v ŘN</t>
  </si>
  <si>
    <t>m3</t>
  </si>
  <si>
    <t>pH demivody</t>
  </si>
  <si>
    <t>v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</si>
  <si>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</si>
  <si>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0</t>
    </r>
  </si>
  <si>
    <r>
      <t>(M</t>
    </r>
    <r>
      <rPr>
        <vertAlign val="subscript"/>
        <sz val="11"/>
        <color theme="1"/>
        <rFont val="Calibri"/>
        <family val="2"/>
        <charset val="238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charset val="238"/>
        <scheme val="minor"/>
      </rPr>
      <t>P2O5</t>
    </r>
  </si>
  <si>
    <r>
      <t>V</t>
    </r>
    <r>
      <rPr>
        <b/>
        <vertAlign val="subscript"/>
        <sz val="11"/>
        <color theme="1"/>
        <rFont val="Calibri"/>
        <family val="2"/>
        <charset val="238"/>
        <scheme val="minor"/>
      </rPr>
      <t>0</t>
    </r>
  </si>
  <si>
    <r>
      <t>(M</t>
    </r>
    <r>
      <rPr>
        <vertAlign val="subscript"/>
        <sz val="11"/>
        <color theme="1"/>
        <rFont val="Calibri"/>
        <family val="2"/>
        <charset val="238"/>
        <scheme val="minor"/>
      </rPr>
      <t>r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charset val="238"/>
        <scheme val="minor"/>
      </rPr>
      <t>TNF</t>
    </r>
  </si>
  <si>
    <t>cm</t>
  </si>
  <si>
    <r>
      <t>dm</t>
    </r>
    <r>
      <rPr>
        <b/>
        <vertAlign val="superscript"/>
        <sz val="11"/>
        <color theme="1"/>
        <rFont val="Calibri"/>
        <family val="2"/>
        <charset val="238"/>
        <scheme val="minor"/>
      </rPr>
      <t>3</t>
    </r>
  </si>
  <si>
    <r>
      <t>c</t>
    </r>
    <r>
      <rPr>
        <b/>
        <vertAlign val="subscript"/>
        <sz val="11"/>
        <color theme="1"/>
        <rFont val="Calibri"/>
        <family val="2"/>
        <charset val="238"/>
        <scheme val="minor"/>
      </rPr>
      <t>x</t>
    </r>
  </si>
  <si>
    <r>
      <t>w</t>
    </r>
    <r>
      <rPr>
        <b/>
        <vertAlign val="subscript"/>
        <sz val="11"/>
        <color theme="1"/>
        <rFont val="Calibri"/>
        <family val="2"/>
        <charset val="238"/>
        <scheme val="minor"/>
      </rPr>
      <t>P2O5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</si>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</sst>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9"/>
      <color indexed="81"/>
      <name val="Tahoma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vertAlign val="superscript"/>
      <sz val="11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sz val="9"/>
      <color indexed="81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vertAlign val="subscript"/>
      <sz val="11"/>
      <name val="Calibri"/>
      <family val="2"/>
      <charset val="238"/>
      <scheme val="minor"/>
    </font>
    <font>
      <vertAlign val="superscript"/>
      <sz val="11"/>
      <name val="Calibri"/>
      <family val="2"/>
      <charset val="238"/>
      <scheme val="minor"/>
    </font>
    <font>
      <b/>
      <vertAlign val="superscript"/>
      <sz val="11"/>
      <name val="Calibri"/>
      <family val="2"/>
      <charset val="238"/>
      <scheme val="minor"/>
    </font>
    <font>
      <vertAlign val="subscript"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11" fontId="16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5" fillId="2" borderId="0" xfId="0" applyFont="1" applyFill="1"/>
    <xf numFmtId="0" fontId="0" fillId="2" borderId="0" xfId="0" applyFill="1"/>
    <xf numFmtId="1" fontId="5" fillId="2" borderId="1" xfId="0" applyNumberFormat="1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showGridLines="0" tabSelected="1" workbookViewId="0"/>
  </sheetViews>
  <sheetFormatPr defaultRowHeight="15" x14ac:dyDescent="0.25"/>
  <sheetData>
    <row r="1" spans="1:7" x14ac:dyDescent="0.25">
      <c r="A1" s="1" t="s">
        <v>24</v>
      </c>
      <c r="B1" s="1"/>
      <c r="C1" s="1"/>
      <c r="E1" s="1" t="s">
        <v>27</v>
      </c>
      <c r="F1" s="1"/>
      <c r="G1" s="1"/>
    </row>
    <row r="2" spans="1:7" x14ac:dyDescent="0.25">
      <c r="A2" s="1"/>
      <c r="B2" s="1"/>
      <c r="C2" s="1"/>
      <c r="E2" s="1"/>
      <c r="F2" s="1"/>
      <c r="G2" s="1"/>
    </row>
    <row r="3" spans="1:7" x14ac:dyDescent="0.25">
      <c r="A3" s="8" t="s">
        <v>29</v>
      </c>
      <c r="B3" s="1"/>
      <c r="C3" s="1"/>
      <c r="E3" s="8" t="s">
        <v>43</v>
      </c>
      <c r="F3" s="1"/>
      <c r="G3" s="1"/>
    </row>
    <row r="4" spans="1:7" x14ac:dyDescent="0.25">
      <c r="A4" s="3" t="s">
        <v>1</v>
      </c>
      <c r="B4" s="3">
        <v>3.6</v>
      </c>
      <c r="C4" s="3" t="str">
        <f>NaN</f>
        <v>-</v>
      </c>
      <c r="E4" s="3" t="s">
        <v>1</v>
      </c>
      <c r="F4" s="3">
        <f>(2*36)/10</f>
        <v>7.2</v>
      </c>
      <c r="G4" s="3" t="str">
        <f>NaN</f>
        <v>-</v>
      </c>
    </row>
    <row r="5" spans="1:7" x14ac:dyDescent="0.25">
      <c r="A5" s="3" t="s">
        <v>10</v>
      </c>
      <c r="B5" s="3">
        <v>10</v>
      </c>
      <c r="C5" s="3" t="s">
        <v>14</v>
      </c>
      <c r="E5" s="3" t="s">
        <v>52</v>
      </c>
      <c r="F5" s="3">
        <v>41</v>
      </c>
      <c r="G5" s="3" t="s">
        <v>51</v>
      </c>
    </row>
    <row r="6" spans="1:7" ht="18" x14ac:dyDescent="0.25">
      <c r="A6" s="3" t="s">
        <v>13</v>
      </c>
      <c r="B6" s="3">
        <v>15</v>
      </c>
      <c r="C6" s="3" t="s">
        <v>15</v>
      </c>
      <c r="E6" s="3" t="s">
        <v>49</v>
      </c>
      <c r="F6" s="3">
        <v>399.88</v>
      </c>
      <c r="G6" s="3" t="str">
        <f>NaN</f>
        <v>-</v>
      </c>
    </row>
    <row r="7" spans="1:7" ht="18" x14ac:dyDescent="0.25">
      <c r="A7" s="13" t="s">
        <v>53</v>
      </c>
      <c r="B7" s="6">
        <f>B4*(B5/B6)</f>
        <v>2.4</v>
      </c>
      <c r="C7" s="13" t="s">
        <v>31</v>
      </c>
      <c r="E7" s="3" t="s">
        <v>54</v>
      </c>
      <c r="F7" s="3">
        <v>55.85</v>
      </c>
      <c r="G7" s="3" t="str">
        <f>NaN</f>
        <v>-</v>
      </c>
    </row>
    <row r="8" spans="1:7" ht="17.25" x14ac:dyDescent="0.25">
      <c r="A8" s="1"/>
      <c r="B8" s="1"/>
      <c r="C8" s="1"/>
      <c r="E8" s="17" t="s">
        <v>0</v>
      </c>
      <c r="F8" s="15">
        <v>1.5</v>
      </c>
      <c r="G8" s="3" t="s">
        <v>50</v>
      </c>
    </row>
    <row r="9" spans="1:7" x14ac:dyDescent="0.25">
      <c r="A9" s="8" t="s">
        <v>36</v>
      </c>
      <c r="B9" s="1"/>
      <c r="C9" s="1"/>
      <c r="E9" s="17" t="s">
        <v>47</v>
      </c>
      <c r="F9" s="3">
        <v>186</v>
      </c>
      <c r="G9" s="3" t="s">
        <v>18</v>
      </c>
    </row>
    <row r="10" spans="1:7" ht="18" x14ac:dyDescent="0.25">
      <c r="A10" s="1" t="s">
        <v>9</v>
      </c>
      <c r="B10" s="1"/>
      <c r="C10" s="1"/>
      <c r="E10" s="3" t="s">
        <v>37</v>
      </c>
      <c r="F10" s="3">
        <v>85</v>
      </c>
      <c r="G10" s="3" t="s">
        <v>20</v>
      </c>
    </row>
    <row r="11" spans="1:7" ht="18" x14ac:dyDescent="0.25">
      <c r="A11" s="3" t="s">
        <v>1</v>
      </c>
      <c r="B11" s="15">
        <f>3.6*(2.65/1.65)</f>
        <v>5.7818181818181822</v>
      </c>
      <c r="C11" s="3" t="str">
        <f>NaN</f>
        <v>-</v>
      </c>
      <c r="E11" s="3" t="s">
        <v>45</v>
      </c>
      <c r="F11" s="3">
        <v>10</v>
      </c>
      <c r="G11" s="3" t="s">
        <v>48</v>
      </c>
    </row>
    <row r="12" spans="1:7" ht="18" x14ac:dyDescent="0.25">
      <c r="A12" s="3" t="s">
        <v>11</v>
      </c>
      <c r="B12" s="3">
        <v>209</v>
      </c>
      <c r="C12" s="3" t="s">
        <v>34</v>
      </c>
      <c r="E12" s="3" t="s">
        <v>46</v>
      </c>
      <c r="F12" s="3">
        <v>0</v>
      </c>
      <c r="G12" s="3" t="s">
        <v>48</v>
      </c>
    </row>
    <row r="13" spans="1:7" ht="18" x14ac:dyDescent="0.25">
      <c r="A13" s="3" t="s">
        <v>12</v>
      </c>
      <c r="B13" s="3">
        <v>1409</v>
      </c>
      <c r="C13" s="3" t="s">
        <v>34</v>
      </c>
      <c r="E13" s="3" t="s">
        <v>13</v>
      </c>
      <c r="F13" s="3">
        <v>42.4</v>
      </c>
      <c r="G13" s="3" t="s">
        <v>15</v>
      </c>
    </row>
    <row r="14" spans="1:7" ht="17.25" x14ac:dyDescent="0.25">
      <c r="A14" s="3" t="s">
        <v>10</v>
      </c>
      <c r="B14" s="3">
        <v>950</v>
      </c>
      <c r="C14" s="3" t="s">
        <v>18</v>
      </c>
      <c r="E14" s="13" t="s">
        <v>3</v>
      </c>
      <c r="F14" s="6">
        <f>(F4*F9*(F11-F12)*F8*F5*F7)/(F6*F10*F13)</f>
        <v>31.917529476378988</v>
      </c>
      <c r="G14" s="10" t="s">
        <v>21</v>
      </c>
    </row>
    <row r="15" spans="1:7" ht="18" x14ac:dyDescent="0.25">
      <c r="A15" s="3" t="s">
        <v>37</v>
      </c>
      <c r="B15" s="3">
        <v>60</v>
      </c>
      <c r="C15" s="3" t="s">
        <v>20</v>
      </c>
      <c r="E15" s="1"/>
      <c r="F15" s="1"/>
      <c r="G15" s="1"/>
    </row>
    <row r="16" spans="1:7" x14ac:dyDescent="0.25">
      <c r="A16" s="3" t="s">
        <v>13</v>
      </c>
      <c r="B16" s="3">
        <v>3.82</v>
      </c>
      <c r="C16" s="3" t="s">
        <v>15</v>
      </c>
      <c r="E16" s="1"/>
      <c r="F16" s="1"/>
      <c r="G16" s="1"/>
    </row>
    <row r="17" spans="1:7" ht="17.25" x14ac:dyDescent="0.25">
      <c r="A17" s="13" t="s">
        <v>28</v>
      </c>
      <c r="B17" s="10">
        <f>(B11*(B13-B12-B14))/(B15*B16)</f>
        <v>6.3065207044264637</v>
      </c>
      <c r="C17" s="13" t="s">
        <v>30</v>
      </c>
      <c r="E17" s="8" t="s">
        <v>55</v>
      </c>
      <c r="F17" s="1"/>
      <c r="G17" s="1"/>
    </row>
    <row r="18" spans="1:7" x14ac:dyDescent="0.25">
      <c r="A18" s="1"/>
      <c r="B18" s="1"/>
      <c r="C18" s="1"/>
      <c r="E18" s="3" t="s">
        <v>1</v>
      </c>
      <c r="F18" s="12">
        <f>1/20</f>
        <v>0.05</v>
      </c>
      <c r="G18" s="3" t="str">
        <f>NaN</f>
        <v>-</v>
      </c>
    </row>
    <row r="19" spans="1:7" x14ac:dyDescent="0.25">
      <c r="A19" s="1" t="s">
        <v>44</v>
      </c>
      <c r="B19" s="1"/>
      <c r="C19" s="1"/>
      <c r="E19" s="3" t="s">
        <v>52</v>
      </c>
      <c r="F19" s="3">
        <v>41</v>
      </c>
      <c r="G19" s="3" t="s">
        <v>51</v>
      </c>
    </row>
    <row r="20" spans="1:7" ht="18" x14ac:dyDescent="0.25">
      <c r="A20" s="3" t="s">
        <v>1</v>
      </c>
      <c r="B20" s="12">
        <f>(3.6*1.4)/1000000</f>
        <v>5.04E-6</v>
      </c>
      <c r="C20" s="3" t="str">
        <f>NaN</f>
        <v>-</v>
      </c>
      <c r="E20" s="3" t="s">
        <v>49</v>
      </c>
      <c r="F20" s="3">
        <v>399.88</v>
      </c>
      <c r="G20" s="3" t="str">
        <f>NaN</f>
        <v>-</v>
      </c>
    </row>
    <row r="21" spans="1:7" ht="18" x14ac:dyDescent="0.25">
      <c r="A21" s="3" t="s">
        <v>35</v>
      </c>
      <c r="B21" s="3">
        <v>950</v>
      </c>
      <c r="C21" s="3" t="s">
        <v>18</v>
      </c>
      <c r="E21" s="3" t="s">
        <v>54</v>
      </c>
      <c r="F21" s="3">
        <v>55.85</v>
      </c>
      <c r="G21" s="3" t="str">
        <f>NaN</f>
        <v>-</v>
      </c>
    </row>
    <row r="22" spans="1:7" ht="17.25" x14ac:dyDescent="0.25">
      <c r="A22" s="3" t="s">
        <v>10</v>
      </c>
      <c r="B22" s="3">
        <v>150</v>
      </c>
      <c r="C22" s="3" t="s">
        <v>18</v>
      </c>
      <c r="E22" s="17" t="s">
        <v>0</v>
      </c>
      <c r="F22" s="15">
        <v>1.5</v>
      </c>
      <c r="G22" s="3" t="s">
        <v>50</v>
      </c>
    </row>
    <row r="23" spans="1:7" ht="18" x14ac:dyDescent="0.25">
      <c r="A23" s="3" t="s">
        <v>37</v>
      </c>
      <c r="B23" s="3">
        <v>80</v>
      </c>
      <c r="C23" s="3" t="s">
        <v>20</v>
      </c>
      <c r="E23" s="3" t="s">
        <v>58</v>
      </c>
      <c r="F23" s="14">
        <v>20</v>
      </c>
      <c r="G23" s="18" t="s">
        <v>59</v>
      </c>
    </row>
    <row r="24" spans="1:7" ht="17.25" x14ac:dyDescent="0.25">
      <c r="A24" s="3" t="s">
        <v>13</v>
      </c>
      <c r="B24" s="3">
        <v>3.2</v>
      </c>
      <c r="C24" s="3" t="s">
        <v>15</v>
      </c>
      <c r="E24" s="13" t="s">
        <v>3</v>
      </c>
      <c r="F24" s="6">
        <f>(F18*F20*F23)/(F22*F21*F19)</f>
        <v>0.11642101738832965</v>
      </c>
      <c r="G24" s="13" t="s">
        <v>57</v>
      </c>
    </row>
    <row r="25" spans="1:7" ht="17.25" x14ac:dyDescent="0.25">
      <c r="A25" s="13" t="s">
        <v>28</v>
      </c>
      <c r="B25" s="10">
        <f>(B20*POWER(B21,2)*B22)/(B23*B24)</f>
        <v>2.6651953125000003</v>
      </c>
      <c r="C25" s="13" t="s">
        <v>30</v>
      </c>
      <c r="E25" s="13" t="s">
        <v>60</v>
      </c>
      <c r="F25" s="6">
        <f>F24*100/(0.4*85)*100</f>
        <v>34.241475702449897</v>
      </c>
      <c r="G25" s="13" t="s">
        <v>51</v>
      </c>
    </row>
    <row r="26" spans="1:7" x14ac:dyDescent="0.25">
      <c r="A26" s="1"/>
      <c r="B26" s="1"/>
      <c r="C26" s="1"/>
    </row>
    <row r="27" spans="1:7" x14ac:dyDescent="0.25">
      <c r="A27" s="8" t="s">
        <v>26</v>
      </c>
      <c r="B27" s="1"/>
      <c r="C27" s="1"/>
    </row>
    <row r="28" spans="1:7" x14ac:dyDescent="0.25">
      <c r="A28" s="3" t="s">
        <v>1</v>
      </c>
      <c r="B28" s="3">
        <f>1.5*7.5</f>
        <v>11.25</v>
      </c>
      <c r="C28" s="3" t="str">
        <f>NaN</f>
        <v>-</v>
      </c>
    </row>
    <row r="29" spans="1:7" ht="18" x14ac:dyDescent="0.25">
      <c r="A29" s="3" t="s">
        <v>38</v>
      </c>
      <c r="B29" s="14">
        <v>2</v>
      </c>
      <c r="C29" s="16" t="s">
        <v>19</v>
      </c>
    </row>
    <row r="30" spans="1:7" ht="18" x14ac:dyDescent="0.25">
      <c r="A30" s="3" t="s">
        <v>39</v>
      </c>
      <c r="B30" s="14">
        <v>5</v>
      </c>
      <c r="C30" s="16" t="s">
        <v>19</v>
      </c>
    </row>
    <row r="31" spans="1:7" ht="18" x14ac:dyDescent="0.25">
      <c r="A31" s="3" t="s">
        <v>37</v>
      </c>
      <c r="B31" s="14">
        <v>60</v>
      </c>
      <c r="C31" s="3" t="s">
        <v>20</v>
      </c>
    </row>
    <row r="32" spans="1:7" ht="18" x14ac:dyDescent="0.25">
      <c r="A32" s="13" t="s">
        <v>40</v>
      </c>
      <c r="B32" s="6">
        <f>(B30-B29)*B31</f>
        <v>180</v>
      </c>
      <c r="C32" s="13" t="s">
        <v>41</v>
      </c>
    </row>
    <row r="33" spans="1:3" x14ac:dyDescent="0.25">
      <c r="A33" s="13" t="s">
        <v>8</v>
      </c>
      <c r="B33" s="6">
        <f>B32/B28</f>
        <v>16</v>
      </c>
      <c r="C33" s="13" t="s">
        <v>33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showGridLines="0" workbookViewId="0"/>
  </sheetViews>
  <sheetFormatPr defaultRowHeight="15" x14ac:dyDescent="0.25"/>
  <sheetData>
    <row r="1" spans="1:7" x14ac:dyDescent="0.25">
      <c r="A1" s="1" t="s">
        <v>25</v>
      </c>
      <c r="B1" s="1"/>
      <c r="C1" s="1"/>
      <c r="E1" s="1" t="s">
        <v>65</v>
      </c>
      <c r="F1" s="1"/>
      <c r="G1" s="1"/>
    </row>
    <row r="2" spans="1:7" x14ac:dyDescent="0.25">
      <c r="A2" s="1"/>
      <c r="B2" s="1"/>
      <c r="C2" s="1"/>
      <c r="E2" s="1"/>
      <c r="F2" s="1"/>
      <c r="G2" s="1"/>
    </row>
    <row r="3" spans="1:7" x14ac:dyDescent="0.25">
      <c r="A3" s="8" t="s">
        <v>29</v>
      </c>
      <c r="B3" s="1"/>
      <c r="C3" s="1"/>
      <c r="E3" s="19" t="s">
        <v>43</v>
      </c>
      <c r="F3" s="20"/>
      <c r="G3" s="20"/>
    </row>
    <row r="4" spans="1:7" x14ac:dyDescent="0.25">
      <c r="A4" s="2" t="s">
        <v>1</v>
      </c>
      <c r="B4" s="3">
        <v>3.6</v>
      </c>
      <c r="C4" s="3" t="str">
        <f>NaN</f>
        <v>-</v>
      </c>
      <c r="E4" s="21" t="s">
        <v>1</v>
      </c>
      <c r="F4" s="21">
        <f>(2*36)/10</f>
        <v>7.2</v>
      </c>
      <c r="G4" s="21" t="str">
        <f>NaN</f>
        <v>-</v>
      </c>
    </row>
    <row r="5" spans="1:7" x14ac:dyDescent="0.25">
      <c r="A5" s="2" t="s">
        <v>10</v>
      </c>
      <c r="B5" s="3">
        <v>10</v>
      </c>
      <c r="C5" s="4" t="s">
        <v>14</v>
      </c>
      <c r="E5" s="21" t="s">
        <v>52</v>
      </c>
      <c r="F5" s="21">
        <v>41</v>
      </c>
      <c r="G5" s="21" t="s">
        <v>51</v>
      </c>
    </row>
    <row r="6" spans="1:7" ht="18" x14ac:dyDescent="0.25">
      <c r="A6" s="2" t="s">
        <v>13</v>
      </c>
      <c r="B6" s="3">
        <v>35</v>
      </c>
      <c r="C6" s="3" t="s">
        <v>15</v>
      </c>
      <c r="E6" s="21" t="s">
        <v>49</v>
      </c>
      <c r="F6" s="21">
        <v>399.88</v>
      </c>
      <c r="G6" s="21" t="str">
        <f>NaN</f>
        <v>-</v>
      </c>
    </row>
    <row r="7" spans="1:7" ht="18" x14ac:dyDescent="0.25">
      <c r="A7" s="5" t="s">
        <v>53</v>
      </c>
      <c r="B7" s="6">
        <f>B4*(B5/B6)</f>
        <v>1.0285714285714285</v>
      </c>
      <c r="C7" s="3" t="s">
        <v>16</v>
      </c>
      <c r="E7" s="21" t="s">
        <v>54</v>
      </c>
      <c r="F7" s="21">
        <v>55.85</v>
      </c>
      <c r="G7" s="21" t="str">
        <f>NaN</f>
        <v>-</v>
      </c>
    </row>
    <row r="8" spans="1:7" ht="17.25" x14ac:dyDescent="0.25">
      <c r="A8" s="1"/>
      <c r="B8" s="1"/>
      <c r="C8" s="1"/>
      <c r="E8" s="28" t="s">
        <v>0</v>
      </c>
      <c r="F8" s="22">
        <v>1.5</v>
      </c>
      <c r="G8" s="21" t="s">
        <v>50</v>
      </c>
    </row>
    <row r="9" spans="1:7" x14ac:dyDescent="0.25">
      <c r="A9" s="30" t="s">
        <v>36</v>
      </c>
      <c r="B9" s="31"/>
      <c r="C9" s="31"/>
      <c r="E9" s="28" t="s">
        <v>47</v>
      </c>
      <c r="F9" s="21">
        <v>186</v>
      </c>
      <c r="G9" s="21" t="s">
        <v>18</v>
      </c>
    </row>
    <row r="10" spans="1:7" ht="18" x14ac:dyDescent="0.25">
      <c r="A10" s="31" t="s">
        <v>9</v>
      </c>
      <c r="B10" s="31"/>
      <c r="C10" s="31"/>
      <c r="E10" s="21" t="s">
        <v>37</v>
      </c>
      <c r="F10" s="21">
        <v>90</v>
      </c>
      <c r="G10" s="21" t="s">
        <v>20</v>
      </c>
    </row>
    <row r="11" spans="1:7" ht="18" x14ac:dyDescent="0.25">
      <c r="A11" s="32" t="s">
        <v>1</v>
      </c>
      <c r="B11" s="33">
        <f>2*3.6*(2.65/1.65)</f>
        <v>11.563636363636364</v>
      </c>
      <c r="C11" s="32" t="str">
        <f>NaN</f>
        <v>-</v>
      </c>
      <c r="E11" s="21" t="s">
        <v>45</v>
      </c>
      <c r="F11" s="21">
        <v>100</v>
      </c>
      <c r="G11" s="21" t="s">
        <v>48</v>
      </c>
    </row>
    <row r="12" spans="1:7" ht="18" x14ac:dyDescent="0.25">
      <c r="A12" s="32" t="s">
        <v>11</v>
      </c>
      <c r="B12" s="32">
        <v>209</v>
      </c>
      <c r="C12" s="32" t="s">
        <v>34</v>
      </c>
      <c r="E12" s="21" t="s">
        <v>46</v>
      </c>
      <c r="F12" s="21">
        <v>90</v>
      </c>
      <c r="G12" s="21" t="s">
        <v>48</v>
      </c>
    </row>
    <row r="13" spans="1:7" ht="18" x14ac:dyDescent="0.25">
      <c r="A13" s="32" t="s">
        <v>66</v>
      </c>
      <c r="B13" s="32">
        <v>1409</v>
      </c>
      <c r="C13" s="32" t="s">
        <v>34</v>
      </c>
      <c r="E13" s="21" t="s">
        <v>13</v>
      </c>
      <c r="F13" s="21">
        <v>46.2</v>
      </c>
      <c r="G13" s="21" t="s">
        <v>15</v>
      </c>
    </row>
    <row r="14" spans="1:7" ht="17.25" x14ac:dyDescent="0.25">
      <c r="A14" s="32" t="s">
        <v>10</v>
      </c>
      <c r="B14" s="32">
        <v>950</v>
      </c>
      <c r="C14" s="32" t="s">
        <v>18</v>
      </c>
      <c r="E14" s="23" t="s">
        <v>3</v>
      </c>
      <c r="F14" s="27">
        <f>(F4*F9*(F11-F12)*F8*F5*F7)/(F6*F10*F13)</f>
        <v>27.664929348934553</v>
      </c>
      <c r="G14" s="24" t="s">
        <v>21</v>
      </c>
    </row>
    <row r="15" spans="1:7" ht="18" x14ac:dyDescent="0.25">
      <c r="A15" s="32" t="s">
        <v>67</v>
      </c>
      <c r="B15" s="32">
        <v>360</v>
      </c>
      <c r="C15" s="32" t="s">
        <v>68</v>
      </c>
      <c r="E15" s="20"/>
      <c r="F15" s="20"/>
      <c r="G15" s="20"/>
    </row>
    <row r="16" spans="1:7" x14ac:dyDescent="0.25">
      <c r="A16" s="32" t="s">
        <v>13</v>
      </c>
      <c r="B16" s="32">
        <v>3.82</v>
      </c>
      <c r="C16" s="32" t="s">
        <v>15</v>
      </c>
      <c r="E16" s="20"/>
      <c r="F16" s="20"/>
      <c r="G16" s="20"/>
    </row>
    <row r="17" spans="1:7" ht="17.25" x14ac:dyDescent="0.25">
      <c r="A17" s="34" t="s">
        <v>28</v>
      </c>
      <c r="B17" s="35">
        <f>(B11*(B13-B12-B14))/(B15*B16)</f>
        <v>2.1021735681421547</v>
      </c>
      <c r="C17" s="34" t="s">
        <v>69</v>
      </c>
      <c r="E17" s="19" t="s">
        <v>55</v>
      </c>
      <c r="F17" s="20"/>
      <c r="G17" s="20"/>
    </row>
    <row r="18" spans="1:7" x14ac:dyDescent="0.25">
      <c r="A18" s="31"/>
      <c r="B18" s="31"/>
      <c r="C18" s="31"/>
      <c r="E18" s="21" t="s">
        <v>1</v>
      </c>
      <c r="F18" s="25">
        <f>1/20</f>
        <v>0.05</v>
      </c>
      <c r="G18" s="21" t="str">
        <f>NaN</f>
        <v>-</v>
      </c>
    </row>
    <row r="19" spans="1:7" x14ac:dyDescent="0.25">
      <c r="A19" s="31" t="s">
        <v>44</v>
      </c>
      <c r="B19" s="31"/>
      <c r="C19" s="31"/>
      <c r="E19" s="21" t="s">
        <v>52</v>
      </c>
      <c r="F19" s="21">
        <v>41</v>
      </c>
      <c r="G19" s="21" t="s">
        <v>51</v>
      </c>
    </row>
    <row r="20" spans="1:7" ht="18" x14ac:dyDescent="0.25">
      <c r="A20" s="32" t="s">
        <v>1</v>
      </c>
      <c r="B20" s="36">
        <f>2*(3.6*1.4)/1000000</f>
        <v>1.008E-5</v>
      </c>
      <c r="C20" s="32" t="str">
        <f>NaN</f>
        <v>-</v>
      </c>
      <c r="E20" s="21" t="s">
        <v>49</v>
      </c>
      <c r="F20" s="21">
        <v>399.88</v>
      </c>
      <c r="G20" s="21" t="str">
        <f>NaN</f>
        <v>-</v>
      </c>
    </row>
    <row r="21" spans="1:7" ht="18" x14ac:dyDescent="0.25">
      <c r="A21" s="32" t="s">
        <v>70</v>
      </c>
      <c r="B21" s="32">
        <v>950</v>
      </c>
      <c r="C21" s="32" t="s">
        <v>18</v>
      </c>
      <c r="E21" s="21" t="s">
        <v>54</v>
      </c>
      <c r="F21" s="21">
        <v>55.85</v>
      </c>
      <c r="G21" s="21" t="str">
        <f>NaN</f>
        <v>-</v>
      </c>
    </row>
    <row r="22" spans="1:7" ht="17.25" x14ac:dyDescent="0.25">
      <c r="A22" s="32" t="s">
        <v>10</v>
      </c>
      <c r="B22" s="32">
        <v>250</v>
      </c>
      <c r="C22" s="32" t="s">
        <v>18</v>
      </c>
      <c r="E22" s="28" t="s">
        <v>0</v>
      </c>
      <c r="F22" s="22">
        <v>1.5</v>
      </c>
      <c r="G22" s="21" t="s">
        <v>50</v>
      </c>
    </row>
    <row r="23" spans="1:7" ht="18" x14ac:dyDescent="0.25">
      <c r="A23" s="32" t="s">
        <v>67</v>
      </c>
      <c r="B23" s="32">
        <v>300</v>
      </c>
      <c r="C23" s="32" t="s">
        <v>68</v>
      </c>
      <c r="E23" s="21" t="s">
        <v>58</v>
      </c>
      <c r="F23" s="26">
        <v>20</v>
      </c>
      <c r="G23" s="29" t="s">
        <v>59</v>
      </c>
    </row>
    <row r="24" spans="1:7" ht="17.25" x14ac:dyDescent="0.25">
      <c r="A24" s="32" t="s">
        <v>13</v>
      </c>
      <c r="B24" s="32">
        <v>2.7080000000000002</v>
      </c>
      <c r="C24" s="32" t="s">
        <v>15</v>
      </c>
      <c r="E24" s="23" t="s">
        <v>3</v>
      </c>
      <c r="F24" s="27">
        <f>(F18*F20*F23)/(F22*F21*F19)</f>
        <v>0.11642101738832965</v>
      </c>
      <c r="G24" s="23" t="s">
        <v>57</v>
      </c>
    </row>
    <row r="25" spans="1:7" ht="17.25" x14ac:dyDescent="0.25">
      <c r="A25" s="34" t="s">
        <v>28</v>
      </c>
      <c r="B25" s="35">
        <f>(B20*POWER(B21,2)*B22)/(B23*B24)</f>
        <v>2.7994830132939437</v>
      </c>
      <c r="C25" s="34" t="s">
        <v>69</v>
      </c>
      <c r="E25" s="23" t="s">
        <v>60</v>
      </c>
      <c r="F25" s="27">
        <f>F24*100/(0.4*85)*100</f>
        <v>34.241475702449897</v>
      </c>
      <c r="G25" s="23" t="s">
        <v>51</v>
      </c>
    </row>
    <row r="26" spans="1:7" x14ac:dyDescent="0.25">
      <c r="A26" s="31"/>
      <c r="B26" s="31"/>
      <c r="C26" s="31"/>
    </row>
    <row r="27" spans="1:7" x14ac:dyDescent="0.25">
      <c r="A27" s="37" t="s">
        <v>26</v>
      </c>
      <c r="B27" s="38"/>
      <c r="C27" s="38"/>
    </row>
    <row r="28" spans="1:7" x14ac:dyDescent="0.25">
      <c r="A28" s="39" t="s">
        <v>1</v>
      </c>
      <c r="B28" s="39">
        <f>1.5*7.5</f>
        <v>11.25</v>
      </c>
      <c r="C28" s="39" t="str">
        <f>NaN</f>
        <v>-</v>
      </c>
    </row>
    <row r="29" spans="1:7" ht="18" x14ac:dyDescent="0.25">
      <c r="A29" s="39" t="s">
        <v>38</v>
      </c>
      <c r="B29" s="40">
        <v>2</v>
      </c>
      <c r="C29" s="41" t="s">
        <v>19</v>
      </c>
    </row>
    <row r="30" spans="1:7" ht="18" x14ac:dyDescent="0.25">
      <c r="A30" s="39" t="s">
        <v>39</v>
      </c>
      <c r="B30" s="40">
        <v>5</v>
      </c>
      <c r="C30" s="41" t="s">
        <v>19</v>
      </c>
    </row>
    <row r="31" spans="1:7" ht="18" x14ac:dyDescent="0.25">
      <c r="A31" s="39" t="s">
        <v>37</v>
      </c>
      <c r="B31" s="40">
        <v>320</v>
      </c>
      <c r="C31" s="39" t="s">
        <v>20</v>
      </c>
    </row>
    <row r="32" spans="1:7" ht="18" x14ac:dyDescent="0.25">
      <c r="A32" s="42" t="s">
        <v>40</v>
      </c>
      <c r="B32" s="43">
        <f>(B30-B29)*B31</f>
        <v>960</v>
      </c>
      <c r="C32" s="42" t="s">
        <v>41</v>
      </c>
    </row>
    <row r="33" spans="1:3" x14ac:dyDescent="0.25">
      <c r="A33" s="42" t="s">
        <v>8</v>
      </c>
      <c r="B33" s="43">
        <f>B32/B28</f>
        <v>85.333333333333329</v>
      </c>
      <c r="C33" s="42" t="s">
        <v>33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6"/>
  <sheetViews>
    <sheetView workbookViewId="0">
      <selection activeCell="E2" sqref="E2"/>
    </sheetView>
  </sheetViews>
  <sheetFormatPr defaultRowHeight="15" x14ac:dyDescent="0.25"/>
  <sheetData>
    <row r="1" spans="1:3" x14ac:dyDescent="0.25">
      <c r="A1" s="1" t="s">
        <v>22</v>
      </c>
      <c r="B1" s="1"/>
      <c r="C1" s="1"/>
    </row>
    <row r="2" spans="1:3" x14ac:dyDescent="0.25">
      <c r="A2" s="1"/>
      <c r="B2" s="1"/>
      <c r="C2" s="1"/>
    </row>
    <row r="3" spans="1:3" x14ac:dyDescent="0.25">
      <c r="A3" s="8" t="s">
        <v>5</v>
      </c>
      <c r="B3" s="1"/>
      <c r="C3" s="1"/>
    </row>
    <row r="4" spans="1:3" ht="17.25" x14ac:dyDescent="0.25">
      <c r="A4" s="17" t="s">
        <v>0</v>
      </c>
      <c r="B4" s="3">
        <v>1.1599999999999999</v>
      </c>
      <c r="C4" s="3" t="s">
        <v>19</v>
      </c>
    </row>
    <row r="5" spans="1:3" x14ac:dyDescent="0.25">
      <c r="A5" s="3" t="s">
        <v>1</v>
      </c>
      <c r="B5" s="3">
        <v>3600</v>
      </c>
      <c r="C5" s="3" t="str">
        <f>NaN</f>
        <v>-</v>
      </c>
    </row>
    <row r="6" spans="1:3" ht="18" x14ac:dyDescent="0.25">
      <c r="A6" s="3" t="s">
        <v>56</v>
      </c>
      <c r="B6" s="3">
        <v>56</v>
      </c>
      <c r="C6" s="3" t="s">
        <v>20</v>
      </c>
    </row>
    <row r="7" spans="1:3" x14ac:dyDescent="0.25">
      <c r="A7" s="3" t="s">
        <v>10</v>
      </c>
      <c r="B7" s="3">
        <v>20</v>
      </c>
      <c r="C7" s="3" t="s">
        <v>18</v>
      </c>
    </row>
    <row r="8" spans="1:3" x14ac:dyDescent="0.25">
      <c r="A8" s="3" t="s">
        <v>13</v>
      </c>
      <c r="B8" s="3">
        <v>6.9</v>
      </c>
      <c r="C8" s="3" t="s">
        <v>15</v>
      </c>
    </row>
    <row r="9" spans="1:3" ht="17.25" x14ac:dyDescent="0.25">
      <c r="A9" s="13" t="s">
        <v>3</v>
      </c>
      <c r="B9" s="10">
        <f>(B4*B5*B7)/(B6*B8)</f>
        <v>216.14906832298135</v>
      </c>
      <c r="C9" s="10" t="s">
        <v>21</v>
      </c>
    </row>
    <row r="10" spans="1:3" x14ac:dyDescent="0.25">
      <c r="A10" s="1"/>
      <c r="B10" s="1"/>
      <c r="C10" s="1"/>
    </row>
    <row r="11" spans="1:3" x14ac:dyDescent="0.25">
      <c r="A11" s="1"/>
      <c r="B11" s="9"/>
      <c r="C11" s="9"/>
    </row>
    <row r="12" spans="1:3" x14ac:dyDescent="0.25">
      <c r="A12" s="8" t="s">
        <v>17</v>
      </c>
      <c r="B12" s="9"/>
      <c r="C12" s="9"/>
    </row>
    <row r="13" spans="1:3" ht="17.25" x14ac:dyDescent="0.25">
      <c r="A13" s="17" t="s">
        <v>0</v>
      </c>
      <c r="B13" s="3">
        <v>1.4</v>
      </c>
      <c r="C13" s="3" t="s">
        <v>19</v>
      </c>
    </row>
    <row r="14" spans="1:3" x14ac:dyDescent="0.25">
      <c r="A14" s="3" t="s">
        <v>1</v>
      </c>
      <c r="B14" s="3">
        <v>3600</v>
      </c>
      <c r="C14" s="3" t="str">
        <f>NaN</f>
        <v>-</v>
      </c>
    </row>
    <row r="15" spans="1:3" ht="18" x14ac:dyDescent="0.25">
      <c r="A15" s="3" t="s">
        <v>56</v>
      </c>
      <c r="B15" s="3">
        <v>70</v>
      </c>
      <c r="C15" s="3" t="s">
        <v>20</v>
      </c>
    </row>
    <row r="16" spans="1:3" x14ac:dyDescent="0.25">
      <c r="A16" s="3" t="s">
        <v>10</v>
      </c>
      <c r="B16" s="3">
        <v>10</v>
      </c>
      <c r="C16" s="3" t="s">
        <v>18</v>
      </c>
    </row>
    <row r="17" spans="1:3" x14ac:dyDescent="0.25">
      <c r="A17" s="3" t="s">
        <v>13</v>
      </c>
      <c r="B17" s="3">
        <v>23.4</v>
      </c>
      <c r="C17" s="3" t="s">
        <v>15</v>
      </c>
    </row>
    <row r="18" spans="1:3" ht="17.25" x14ac:dyDescent="0.25">
      <c r="A18" s="13" t="s">
        <v>3</v>
      </c>
      <c r="B18" s="10">
        <f>(B13*B14*B16)/(B15*B17)</f>
        <v>30.76923076923077</v>
      </c>
      <c r="C18" s="10" t="s">
        <v>21</v>
      </c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8" t="s">
        <v>4</v>
      </c>
      <c r="B21" s="1"/>
      <c r="C21" s="1"/>
    </row>
    <row r="22" spans="1:3" x14ac:dyDescent="0.25">
      <c r="A22" s="16" t="s">
        <v>1</v>
      </c>
      <c r="B22" s="12">
        <v>100</v>
      </c>
      <c r="C22" s="3" t="str">
        <f>NaN</f>
        <v>-</v>
      </c>
    </row>
    <row r="23" spans="1:3" x14ac:dyDescent="0.25">
      <c r="A23" s="3" t="s">
        <v>6</v>
      </c>
      <c r="B23" s="14">
        <v>5.3650000000000002</v>
      </c>
      <c r="C23" s="3" t="s">
        <v>15</v>
      </c>
    </row>
    <row r="24" spans="1:3" x14ac:dyDescent="0.25">
      <c r="A24" s="3" t="s">
        <v>7</v>
      </c>
      <c r="B24" s="14">
        <v>9.73</v>
      </c>
      <c r="C24" s="3" t="s">
        <v>15</v>
      </c>
    </row>
    <row r="25" spans="1:3" x14ac:dyDescent="0.25">
      <c r="A25" s="3" t="s">
        <v>8</v>
      </c>
      <c r="B25" s="15">
        <v>1</v>
      </c>
      <c r="C25" s="3" t="s">
        <v>33</v>
      </c>
    </row>
    <row r="26" spans="1:3" x14ac:dyDescent="0.25">
      <c r="A26" s="13" t="s">
        <v>4</v>
      </c>
      <c r="B26" s="11">
        <f>B22*((1-(B23/B24))/B25)</f>
        <v>44.861253854059612</v>
      </c>
      <c r="C26" s="13" t="str">
        <f>NaN</f>
        <v>-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showGridLines="0" workbookViewId="0">
      <selection activeCell="D13" sqref="D13"/>
    </sheetView>
  </sheetViews>
  <sheetFormatPr defaultRowHeight="15" x14ac:dyDescent="0.25"/>
  <sheetData>
    <row r="1" spans="1:7" x14ac:dyDescent="0.25">
      <c r="A1" s="45" t="s">
        <v>71</v>
      </c>
      <c r="B1" s="46"/>
      <c r="C1" s="46"/>
      <c r="E1" s="45" t="s">
        <v>73</v>
      </c>
      <c r="F1" s="46"/>
      <c r="G1" s="46"/>
    </row>
    <row r="2" spans="1:7" x14ac:dyDescent="0.25">
      <c r="A2" s="21" t="s">
        <v>1</v>
      </c>
      <c r="B2" s="21">
        <v>1</v>
      </c>
      <c r="C2" s="21" t="str">
        <f>NaN</f>
        <v>-</v>
      </c>
      <c r="E2" s="21" t="s">
        <v>1</v>
      </c>
      <c r="F2" s="21"/>
      <c r="G2" s="21" t="str">
        <f>NaN</f>
        <v>-</v>
      </c>
    </row>
    <row r="3" spans="1:7" x14ac:dyDescent="0.25">
      <c r="A3" s="21" t="s">
        <v>3</v>
      </c>
      <c r="B3" s="21">
        <v>144</v>
      </c>
      <c r="C3" s="21" t="s">
        <v>80</v>
      </c>
      <c r="E3" s="21"/>
      <c r="F3" s="21"/>
      <c r="G3" s="21"/>
    </row>
    <row r="4" spans="1:7" ht="18" x14ac:dyDescent="0.25">
      <c r="A4" s="21" t="s">
        <v>79</v>
      </c>
      <c r="B4" s="26">
        <v>380.13200000000001</v>
      </c>
      <c r="C4" s="21" t="str">
        <f>NaN</f>
        <v>-</v>
      </c>
      <c r="E4" s="21"/>
      <c r="F4" s="21"/>
      <c r="G4" s="21"/>
    </row>
    <row r="5" spans="1:7" ht="18" x14ac:dyDescent="0.25">
      <c r="A5" s="21" t="s">
        <v>77</v>
      </c>
      <c r="B5" s="26">
        <v>141.94</v>
      </c>
      <c r="C5" s="21" t="str">
        <f>NaN</f>
        <v>-</v>
      </c>
      <c r="E5" s="21"/>
      <c r="F5" s="21"/>
      <c r="G5" s="21"/>
    </row>
    <row r="6" spans="1:7" x14ac:dyDescent="0.25">
      <c r="A6" s="21" t="s">
        <v>11</v>
      </c>
      <c r="B6" s="21">
        <v>12.5</v>
      </c>
      <c r="C6" s="21" t="s">
        <v>41</v>
      </c>
      <c r="E6" s="21" t="s">
        <v>11</v>
      </c>
      <c r="F6" s="21"/>
      <c r="G6" s="21" t="s">
        <v>41</v>
      </c>
    </row>
    <row r="7" spans="1:7" ht="17.25" x14ac:dyDescent="0.25">
      <c r="A7" s="21" t="s">
        <v>74</v>
      </c>
      <c r="B7" s="21">
        <v>100</v>
      </c>
      <c r="C7" s="21" t="s">
        <v>80</v>
      </c>
      <c r="E7" s="21" t="s">
        <v>10</v>
      </c>
      <c r="F7" s="21">
        <v>10</v>
      </c>
      <c r="G7" s="21" t="s">
        <v>72</v>
      </c>
    </row>
    <row r="8" spans="1:7" ht="18" x14ac:dyDescent="0.25">
      <c r="A8" s="21" t="s">
        <v>75</v>
      </c>
      <c r="B8" s="21">
        <v>36</v>
      </c>
      <c r="C8" s="21" t="s">
        <v>80</v>
      </c>
      <c r="E8" s="21"/>
      <c r="F8" s="21"/>
      <c r="G8" s="21"/>
    </row>
    <row r="9" spans="1:7" ht="18" x14ac:dyDescent="0.25">
      <c r="A9" s="21" t="s">
        <v>76</v>
      </c>
      <c r="B9" s="21">
        <v>3</v>
      </c>
      <c r="C9" s="21" t="s">
        <v>19</v>
      </c>
      <c r="E9" s="21" t="s">
        <v>13</v>
      </c>
      <c r="F9" s="21">
        <v>15</v>
      </c>
      <c r="G9" s="21" t="s">
        <v>15</v>
      </c>
    </row>
    <row r="10" spans="1:7" ht="18" x14ac:dyDescent="0.25">
      <c r="A10" s="23" t="s">
        <v>83</v>
      </c>
      <c r="B10" s="24">
        <f>B5/(2*B4)</f>
        <v>0.18669830479938548</v>
      </c>
      <c r="C10" s="23" t="s">
        <v>84</v>
      </c>
      <c r="E10" s="21"/>
      <c r="F10" s="21"/>
      <c r="G10" s="21"/>
    </row>
    <row r="11" spans="1:7" ht="17.25" x14ac:dyDescent="0.25">
      <c r="A11" s="23" t="s">
        <v>10</v>
      </c>
      <c r="B11" s="47">
        <f>(PI()*POWER((B3/2),2)*B7)/1000</f>
        <v>1628.6016316209486</v>
      </c>
      <c r="C11" s="23" t="s">
        <v>81</v>
      </c>
      <c r="E11" s="21"/>
      <c r="F11" s="21"/>
      <c r="G11" s="21"/>
    </row>
    <row r="12" spans="1:7" ht="18" x14ac:dyDescent="0.25">
      <c r="A12" s="23" t="s">
        <v>78</v>
      </c>
      <c r="B12" s="47">
        <f>(PI()*POWER((B3/2),2)*B8)/1000</f>
        <v>586.29658738354146</v>
      </c>
      <c r="C12" s="23" t="s">
        <v>81</v>
      </c>
      <c r="E12" s="21"/>
      <c r="F12" s="21"/>
      <c r="G12" s="21"/>
    </row>
    <row r="13" spans="1:7" ht="18" x14ac:dyDescent="0.25">
      <c r="A13" s="23" t="s">
        <v>82</v>
      </c>
      <c r="B13" s="27">
        <f>B6/(B11-B12)</f>
        <v>1.199265039453542E-2</v>
      </c>
      <c r="C13" s="23" t="s">
        <v>30</v>
      </c>
      <c r="E13" s="21"/>
      <c r="F13" s="21"/>
      <c r="G13" s="21"/>
    </row>
    <row r="14" spans="1:7" ht="18" x14ac:dyDescent="0.25">
      <c r="A14" s="23" t="s">
        <v>28</v>
      </c>
      <c r="B14" s="27">
        <f>B2*(B7/B9)</f>
        <v>33.333333333333336</v>
      </c>
      <c r="C14" s="23" t="s">
        <v>30</v>
      </c>
      <c r="E14" s="23" t="s">
        <v>53</v>
      </c>
      <c r="F14" s="27">
        <f>F2*(F7/F9)</f>
        <v>0</v>
      </c>
      <c r="G14" s="23" t="s">
        <v>30</v>
      </c>
    </row>
    <row r="16" spans="1:7" x14ac:dyDescent="0.25">
      <c r="A16" s="44"/>
    </row>
  </sheetData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36"/>
  <sheetViews>
    <sheetView showGridLines="0" workbookViewId="0">
      <selection activeCell="B2" sqref="B2"/>
    </sheetView>
  </sheetViews>
  <sheetFormatPr defaultRowHeight="15" x14ac:dyDescent="0.25"/>
  <cols>
    <col min="1" max="6" width="9.140625" style="1"/>
    <col min="7" max="7" width="11" style="1" bestFit="1" customWidth="1"/>
    <col min="8" max="8" width="9.140625" style="1"/>
    <col min="9" max="9" width="11.5703125" style="1" customWidth="1"/>
    <col min="10" max="13" width="9.140625" style="1"/>
    <col min="14" max="14" width="10.7109375" style="1" customWidth="1"/>
    <col min="15" max="15" width="11.85546875" style="1" bestFit="1" customWidth="1"/>
    <col min="16" max="16384" width="9.140625" style="1"/>
  </cols>
  <sheetData>
    <row r="2" spans="2:16" x14ac:dyDescent="0.25">
      <c r="B2" s="1" t="s">
        <v>22</v>
      </c>
      <c r="F2" s="1" t="s">
        <v>24</v>
      </c>
      <c r="J2" s="1" t="s">
        <v>25</v>
      </c>
      <c r="N2" s="1" t="s">
        <v>27</v>
      </c>
    </row>
    <row r="4" spans="2:16" x14ac:dyDescent="0.25">
      <c r="B4" s="8" t="s">
        <v>5</v>
      </c>
      <c r="F4" s="8" t="s">
        <v>29</v>
      </c>
      <c r="J4" s="8" t="s">
        <v>29</v>
      </c>
      <c r="N4" s="8" t="s">
        <v>43</v>
      </c>
    </row>
    <row r="5" spans="2:16" ht="17.25" x14ac:dyDescent="0.25">
      <c r="B5" s="17" t="s">
        <v>0</v>
      </c>
      <c r="C5" s="3">
        <v>1.1599999999999999</v>
      </c>
      <c r="D5" s="3" t="s">
        <v>19</v>
      </c>
      <c r="F5" s="3" t="s">
        <v>1</v>
      </c>
      <c r="G5" s="3">
        <v>3.6</v>
      </c>
      <c r="H5" s="3" t="str">
        <f>NaN</f>
        <v>-</v>
      </c>
      <c r="J5" s="2" t="s">
        <v>1</v>
      </c>
      <c r="K5" s="3">
        <v>3.6</v>
      </c>
      <c r="L5" s="3" t="str">
        <f>NaN</f>
        <v>-</v>
      </c>
      <c r="N5" s="3" t="s">
        <v>1</v>
      </c>
      <c r="O5" s="3">
        <f>(2*36)/10</f>
        <v>7.2</v>
      </c>
      <c r="P5" s="3" t="str">
        <f>NaN</f>
        <v>-</v>
      </c>
    </row>
    <row r="6" spans="2:16" x14ac:dyDescent="0.25">
      <c r="B6" s="3" t="s">
        <v>1</v>
      </c>
      <c r="C6" s="3">
        <v>3600</v>
      </c>
      <c r="D6" s="3" t="str">
        <f>NaN</f>
        <v>-</v>
      </c>
      <c r="F6" s="3" t="s">
        <v>10</v>
      </c>
      <c r="G6" s="3">
        <v>10</v>
      </c>
      <c r="H6" s="3" t="s">
        <v>14</v>
      </c>
      <c r="J6" s="2" t="s">
        <v>10</v>
      </c>
      <c r="K6" s="3">
        <v>10</v>
      </c>
      <c r="L6" s="4" t="s">
        <v>14</v>
      </c>
      <c r="N6" s="3" t="s">
        <v>52</v>
      </c>
      <c r="O6" s="3">
        <v>41</v>
      </c>
      <c r="P6" s="3" t="s">
        <v>51</v>
      </c>
    </row>
    <row r="7" spans="2:16" ht="18" x14ac:dyDescent="0.25">
      <c r="B7" s="3" t="s">
        <v>56</v>
      </c>
      <c r="C7" s="3">
        <v>56</v>
      </c>
      <c r="D7" s="3" t="s">
        <v>20</v>
      </c>
      <c r="F7" s="3" t="s">
        <v>13</v>
      </c>
      <c r="G7" s="3">
        <v>15</v>
      </c>
      <c r="H7" s="3" t="s">
        <v>15</v>
      </c>
      <c r="J7" s="2" t="s">
        <v>13</v>
      </c>
      <c r="K7" s="3">
        <v>35</v>
      </c>
      <c r="L7" s="3" t="s">
        <v>15</v>
      </c>
      <c r="N7" s="3" t="s">
        <v>49</v>
      </c>
      <c r="O7" s="3">
        <v>399.88</v>
      </c>
      <c r="P7" s="3" t="str">
        <f>NaN</f>
        <v>-</v>
      </c>
    </row>
    <row r="8" spans="2:16" ht="18" x14ac:dyDescent="0.25">
      <c r="B8" s="3" t="s">
        <v>10</v>
      </c>
      <c r="C8" s="3">
        <v>20</v>
      </c>
      <c r="D8" s="3" t="s">
        <v>18</v>
      </c>
      <c r="F8" s="13" t="s">
        <v>53</v>
      </c>
      <c r="G8" s="6">
        <f>G5*(G6/G7)</f>
        <v>2.4</v>
      </c>
      <c r="H8" s="13" t="s">
        <v>31</v>
      </c>
      <c r="J8" s="5" t="s">
        <v>53</v>
      </c>
      <c r="K8" s="6">
        <f>K5*(K6/K7)</f>
        <v>1.0285714285714285</v>
      </c>
      <c r="L8" s="3" t="s">
        <v>16</v>
      </c>
      <c r="N8" s="3" t="s">
        <v>54</v>
      </c>
      <c r="O8" s="3">
        <v>55.85</v>
      </c>
      <c r="P8" s="3" t="str">
        <f>NaN</f>
        <v>-</v>
      </c>
    </row>
    <row r="9" spans="2:16" ht="17.25" x14ac:dyDescent="0.25">
      <c r="B9" s="3" t="s">
        <v>13</v>
      </c>
      <c r="C9" s="3">
        <v>6.9</v>
      </c>
      <c r="D9" s="3" t="s">
        <v>15</v>
      </c>
      <c r="N9" s="17" t="s">
        <v>0</v>
      </c>
      <c r="O9" s="15">
        <v>1.5</v>
      </c>
      <c r="P9" s="3" t="s">
        <v>50</v>
      </c>
    </row>
    <row r="10" spans="2:16" ht="17.25" x14ac:dyDescent="0.25">
      <c r="B10" s="13" t="s">
        <v>3</v>
      </c>
      <c r="C10" s="10">
        <f>(C5*C6*C8)/(C7*C9)</f>
        <v>216.14906832298135</v>
      </c>
      <c r="D10" s="10" t="s">
        <v>21</v>
      </c>
      <c r="E10" s="7"/>
      <c r="N10" s="17" t="s">
        <v>47</v>
      </c>
      <c r="O10" s="3">
        <v>186</v>
      </c>
      <c r="P10" s="3" t="s">
        <v>18</v>
      </c>
    </row>
    <row r="11" spans="2:16" ht="18" x14ac:dyDescent="0.25">
      <c r="F11" s="8" t="s">
        <v>36</v>
      </c>
      <c r="J11" s="8" t="s">
        <v>36</v>
      </c>
      <c r="N11" s="3" t="s">
        <v>37</v>
      </c>
      <c r="O11" s="3">
        <v>90</v>
      </c>
      <c r="P11" s="3" t="s">
        <v>20</v>
      </c>
    </row>
    <row r="12" spans="2:16" ht="18" x14ac:dyDescent="0.25">
      <c r="C12" s="9"/>
      <c r="D12" s="9"/>
      <c r="F12" s="1" t="s">
        <v>9</v>
      </c>
      <c r="J12" s="1" t="s">
        <v>9</v>
      </c>
      <c r="N12" s="3" t="s">
        <v>45</v>
      </c>
      <c r="O12" s="3">
        <v>100</v>
      </c>
      <c r="P12" s="3" t="s">
        <v>48</v>
      </c>
    </row>
    <row r="13" spans="2:16" ht="18" x14ac:dyDescent="0.25">
      <c r="B13" s="8" t="s">
        <v>17</v>
      </c>
      <c r="C13" s="9"/>
      <c r="D13" s="9"/>
      <c r="F13" s="3" t="s">
        <v>1</v>
      </c>
      <c r="G13" s="15">
        <f>3.6*(2.65/1.65)</f>
        <v>5.7818181818181822</v>
      </c>
      <c r="H13" s="3" t="str">
        <f>NaN</f>
        <v>-</v>
      </c>
      <c r="J13" s="2" t="s">
        <v>11</v>
      </c>
      <c r="K13" s="2"/>
      <c r="L13" s="2"/>
      <c r="N13" s="3" t="s">
        <v>46</v>
      </c>
      <c r="O13" s="3">
        <v>90</v>
      </c>
      <c r="P13" s="3" t="s">
        <v>48</v>
      </c>
    </row>
    <row r="14" spans="2:16" ht="18" x14ac:dyDescent="0.25">
      <c r="B14" s="17" t="s">
        <v>0</v>
      </c>
      <c r="C14" s="3">
        <v>1.4</v>
      </c>
      <c r="D14" s="3" t="s">
        <v>19</v>
      </c>
      <c r="F14" s="3" t="s">
        <v>11</v>
      </c>
      <c r="G14" s="3">
        <v>209</v>
      </c>
      <c r="H14" s="3" t="s">
        <v>34</v>
      </c>
      <c r="J14" s="2" t="s">
        <v>12</v>
      </c>
      <c r="K14" s="2"/>
      <c r="L14" s="2"/>
      <c r="N14" s="3" t="s">
        <v>13</v>
      </c>
      <c r="O14" s="3">
        <v>46.2</v>
      </c>
      <c r="P14" s="3" t="s">
        <v>15</v>
      </c>
    </row>
    <row r="15" spans="2:16" ht="18" x14ac:dyDescent="0.25">
      <c r="B15" s="3" t="s">
        <v>1</v>
      </c>
      <c r="C15" s="3">
        <v>3600</v>
      </c>
      <c r="D15" s="3" t="str">
        <f>NaN</f>
        <v>-</v>
      </c>
      <c r="F15" s="3" t="s">
        <v>12</v>
      </c>
      <c r="G15" s="3">
        <v>1409</v>
      </c>
      <c r="H15" s="3" t="s">
        <v>34</v>
      </c>
      <c r="J15" s="2" t="s">
        <v>10</v>
      </c>
      <c r="K15" s="2"/>
      <c r="L15" s="2"/>
      <c r="N15" s="13" t="s">
        <v>3</v>
      </c>
      <c r="O15" s="6">
        <f>(O5*O10*(O12-O13)*O9*O6*O8)/(O7*O11*O14)</f>
        <v>27.664929348934553</v>
      </c>
      <c r="P15" s="10" t="s">
        <v>21</v>
      </c>
    </row>
    <row r="16" spans="2:16" ht="18" x14ac:dyDescent="0.25">
      <c r="B16" s="3" t="s">
        <v>56</v>
      </c>
      <c r="C16" s="3">
        <v>70</v>
      </c>
      <c r="D16" s="3" t="s">
        <v>20</v>
      </c>
      <c r="F16" s="3" t="s">
        <v>10</v>
      </c>
      <c r="G16" s="3">
        <v>950</v>
      </c>
      <c r="H16" s="3" t="s">
        <v>18</v>
      </c>
      <c r="J16" s="2" t="s">
        <v>37</v>
      </c>
      <c r="K16" s="2"/>
      <c r="L16" s="2"/>
    </row>
    <row r="17" spans="2:16" ht="18" x14ac:dyDescent="0.25">
      <c r="B17" s="3" t="s">
        <v>10</v>
      </c>
      <c r="C17" s="3">
        <v>10</v>
      </c>
      <c r="D17" s="3" t="s">
        <v>18</v>
      </c>
      <c r="F17" s="3" t="s">
        <v>37</v>
      </c>
      <c r="G17" s="3">
        <v>60</v>
      </c>
      <c r="H17" s="3" t="s">
        <v>20</v>
      </c>
      <c r="J17" s="2" t="s">
        <v>13</v>
      </c>
      <c r="K17" s="2"/>
      <c r="L17" s="2"/>
    </row>
    <row r="18" spans="2:16" x14ac:dyDescent="0.25">
      <c r="B18" s="3" t="s">
        <v>13</v>
      </c>
      <c r="C18" s="3">
        <v>23.4</v>
      </c>
      <c r="D18" s="3" t="s">
        <v>15</v>
      </c>
      <c r="F18" s="3" t="s">
        <v>13</v>
      </c>
      <c r="G18" s="3">
        <v>3.82</v>
      </c>
      <c r="H18" s="3" t="s">
        <v>15</v>
      </c>
      <c r="N18" s="8" t="s">
        <v>55</v>
      </c>
    </row>
    <row r="19" spans="2:16" ht="17.25" x14ac:dyDescent="0.25">
      <c r="B19" s="13" t="s">
        <v>3</v>
      </c>
      <c r="C19" s="10">
        <f>(C14*C15*C17)/(C16*C18)</f>
        <v>30.76923076923077</v>
      </c>
      <c r="D19" s="10" t="s">
        <v>21</v>
      </c>
      <c r="F19" s="13" t="s">
        <v>28</v>
      </c>
      <c r="G19" s="10">
        <f>(G13*(G15-G14-G16))/(G17*G18)</f>
        <v>6.3065207044264637</v>
      </c>
      <c r="H19" s="13" t="s">
        <v>30</v>
      </c>
      <c r="N19" s="3" t="s">
        <v>1</v>
      </c>
      <c r="O19" s="12">
        <f>1/20</f>
        <v>0.05</v>
      </c>
      <c r="P19" s="3" t="str">
        <f>NaN</f>
        <v>-</v>
      </c>
    </row>
    <row r="20" spans="2:16" x14ac:dyDescent="0.25">
      <c r="J20" s="1" t="s">
        <v>32</v>
      </c>
      <c r="N20" s="3" t="s">
        <v>52</v>
      </c>
      <c r="O20" s="3">
        <v>41</v>
      </c>
      <c r="P20" s="3" t="s">
        <v>51</v>
      </c>
    </row>
    <row r="21" spans="2:16" ht="18" x14ac:dyDescent="0.25">
      <c r="J21" s="2" t="s">
        <v>11</v>
      </c>
      <c r="K21" s="2"/>
      <c r="L21" s="2"/>
      <c r="N21" s="3" t="s">
        <v>49</v>
      </c>
      <c r="O21" s="3">
        <v>399.88</v>
      </c>
      <c r="P21" s="3" t="str">
        <f>NaN</f>
        <v>-</v>
      </c>
    </row>
    <row r="22" spans="2:16" ht="18" x14ac:dyDescent="0.25">
      <c r="B22" s="8" t="s">
        <v>4</v>
      </c>
      <c r="F22" s="1" t="s">
        <v>44</v>
      </c>
      <c r="J22" s="2" t="s">
        <v>12</v>
      </c>
      <c r="K22" s="2"/>
      <c r="L22" s="2"/>
      <c r="N22" s="3" t="s">
        <v>54</v>
      </c>
      <c r="O22" s="3">
        <v>55.85</v>
      </c>
      <c r="P22" s="3" t="str">
        <f>NaN</f>
        <v>-</v>
      </c>
    </row>
    <row r="23" spans="2:16" ht="17.25" x14ac:dyDescent="0.25">
      <c r="B23" s="16" t="s">
        <v>1</v>
      </c>
      <c r="C23" s="12">
        <v>100</v>
      </c>
      <c r="D23" s="3" t="str">
        <f>NaN</f>
        <v>-</v>
      </c>
      <c r="F23" s="3" t="s">
        <v>1</v>
      </c>
      <c r="G23" s="12">
        <f>(3.6*1.4)/1000000</f>
        <v>5.04E-6</v>
      </c>
      <c r="H23" s="3" t="str">
        <f>NaN</f>
        <v>-</v>
      </c>
      <c r="J23" s="2" t="s">
        <v>10</v>
      </c>
      <c r="K23" s="2"/>
      <c r="L23" s="2"/>
      <c r="N23" s="17" t="s">
        <v>0</v>
      </c>
      <c r="O23" s="15">
        <v>1.5</v>
      </c>
      <c r="P23" s="3" t="s">
        <v>50</v>
      </c>
    </row>
    <row r="24" spans="2:16" ht="18" x14ac:dyDescent="0.25">
      <c r="B24" s="3" t="s">
        <v>6</v>
      </c>
      <c r="C24" s="14">
        <v>5.3650000000000002</v>
      </c>
      <c r="D24" s="3" t="s">
        <v>15</v>
      </c>
      <c r="F24" s="3" t="s">
        <v>35</v>
      </c>
      <c r="G24" s="3">
        <v>950</v>
      </c>
      <c r="H24" s="3" t="s">
        <v>18</v>
      </c>
      <c r="J24" s="2" t="s">
        <v>2</v>
      </c>
      <c r="K24" s="2"/>
      <c r="L24" s="2"/>
      <c r="N24" s="3" t="s">
        <v>58</v>
      </c>
      <c r="O24" s="14">
        <v>20</v>
      </c>
      <c r="P24" s="18" t="s">
        <v>59</v>
      </c>
    </row>
    <row r="25" spans="2:16" ht="17.25" x14ac:dyDescent="0.25">
      <c r="B25" s="3" t="s">
        <v>7</v>
      </c>
      <c r="C25" s="14">
        <v>9.73</v>
      </c>
      <c r="D25" s="3" t="s">
        <v>15</v>
      </c>
      <c r="F25" s="3" t="s">
        <v>10</v>
      </c>
      <c r="G25" s="3">
        <v>110</v>
      </c>
      <c r="H25" s="3" t="s">
        <v>18</v>
      </c>
      <c r="J25" s="2" t="s">
        <v>13</v>
      </c>
      <c r="K25" s="2"/>
      <c r="L25" s="2"/>
      <c r="N25" s="13" t="s">
        <v>3</v>
      </c>
      <c r="O25" s="6">
        <f>(O19*O21*O24)/(O23*O22*O20)</f>
        <v>0.11642101738832965</v>
      </c>
      <c r="P25" s="13" t="s">
        <v>57</v>
      </c>
    </row>
    <row r="26" spans="2:16" ht="18" x14ac:dyDescent="0.25">
      <c r="B26" s="3" t="s">
        <v>8</v>
      </c>
      <c r="C26" s="15">
        <v>1</v>
      </c>
      <c r="D26" s="3" t="s">
        <v>33</v>
      </c>
      <c r="F26" s="3" t="s">
        <v>37</v>
      </c>
      <c r="G26" s="3">
        <v>60</v>
      </c>
      <c r="H26" s="3" t="s">
        <v>20</v>
      </c>
      <c r="N26" s="13" t="s">
        <v>60</v>
      </c>
      <c r="O26" s="6">
        <f>O25*100/(0.4*85)*100</f>
        <v>34.241475702449897</v>
      </c>
      <c r="P26" s="13" t="s">
        <v>51</v>
      </c>
    </row>
    <row r="27" spans="2:16" x14ac:dyDescent="0.25">
      <c r="B27" s="13" t="s">
        <v>4</v>
      </c>
      <c r="C27" s="11">
        <f>C23*((1-(C24/C25))/C26)</f>
        <v>44.861253854059612</v>
      </c>
      <c r="D27" s="13" t="str">
        <f>NaN</f>
        <v>-</v>
      </c>
      <c r="F27" s="3" t="s">
        <v>13</v>
      </c>
      <c r="G27" s="3">
        <v>3.7</v>
      </c>
      <c r="H27" s="3" t="s">
        <v>15</v>
      </c>
    </row>
    <row r="28" spans="2:16" ht="17.25" x14ac:dyDescent="0.25">
      <c r="F28" s="13" t="s">
        <v>28</v>
      </c>
      <c r="G28" s="10">
        <f>(G23*POWER(G24,2)*G25)/(G26*G27)</f>
        <v>2.253810810810811</v>
      </c>
      <c r="H28" s="13" t="s">
        <v>30</v>
      </c>
      <c r="J28" s="1" t="s">
        <v>26</v>
      </c>
    </row>
    <row r="30" spans="2:16" x14ac:dyDescent="0.25">
      <c r="F30" s="8" t="s">
        <v>26</v>
      </c>
    </row>
    <row r="31" spans="2:16" x14ac:dyDescent="0.25">
      <c r="F31" s="3" t="s">
        <v>1</v>
      </c>
      <c r="G31" s="3">
        <f>1.5*7.5</f>
        <v>11.25</v>
      </c>
      <c r="H31" s="3" t="str">
        <f>NaN</f>
        <v>-</v>
      </c>
    </row>
    <row r="32" spans="2:16" ht="18" x14ac:dyDescent="0.25">
      <c r="F32" s="3" t="s">
        <v>38</v>
      </c>
      <c r="G32" s="14">
        <v>2</v>
      </c>
      <c r="H32" s="16" t="s">
        <v>19</v>
      </c>
    </row>
    <row r="33" spans="6:8" ht="18" x14ac:dyDescent="0.25">
      <c r="F33" s="3" t="s">
        <v>39</v>
      </c>
      <c r="G33" s="14">
        <v>5</v>
      </c>
      <c r="H33" s="16" t="s">
        <v>19</v>
      </c>
    </row>
    <row r="34" spans="6:8" ht="18" x14ac:dyDescent="0.25">
      <c r="F34" s="3" t="s">
        <v>37</v>
      </c>
      <c r="G34" s="14">
        <v>60</v>
      </c>
      <c r="H34" s="3" t="s">
        <v>20</v>
      </c>
    </row>
    <row r="35" spans="6:8" ht="18" x14ac:dyDescent="0.25">
      <c r="F35" s="13" t="s">
        <v>40</v>
      </c>
      <c r="G35" s="6">
        <f>(G33-G32)*G34</f>
        <v>180</v>
      </c>
      <c r="H35" s="13" t="s">
        <v>41</v>
      </c>
    </row>
    <row r="36" spans="6:8" x14ac:dyDescent="0.25">
      <c r="F36" s="13" t="s">
        <v>8</v>
      </c>
      <c r="G36" s="6">
        <f>G35/G31</f>
        <v>16</v>
      </c>
      <c r="H36" s="13" t="s">
        <v>33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42</v>
      </c>
    </row>
    <row r="3" spans="1:1" x14ac:dyDescent="0.25">
      <c r="A3" t="s">
        <v>61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APW3</vt:lpstr>
      <vt:lpstr>APW4</vt:lpstr>
      <vt:lpstr>RO</vt:lpstr>
      <vt:lpstr>ionexy</vt:lpstr>
      <vt:lpstr>chemikálie</vt:lpstr>
      <vt:lpstr>ostatní</vt:lpstr>
      <vt:lpstr>výpočty</vt:lpstr>
      <vt:lpstr>úpravy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2016-07-10T12:20:40Z</dcterms:modified>
</cp:coreProperties>
</file>