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 activeTab="4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</sheets>
  <calcPr calcId="125725"/>
</workbook>
</file>

<file path=xl/calcChain.xml><?xml version="1.0" encoding="utf-8"?>
<calcChain xmlns="http://schemas.openxmlformats.org/spreadsheetml/2006/main"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C184"/>
  <c r="D183"/>
  <c r="E183"/>
  <c r="F183"/>
  <c r="G183"/>
  <c r="C183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C151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W4" i="1"/>
  <c r="AA4"/>
  <c r="AE4"/>
  <c r="A2"/>
  <c r="B2"/>
  <c r="B7" s="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V4" s="1"/>
  <c r="W2"/>
  <c r="X2"/>
  <c r="X4" s="1"/>
  <c r="Y2"/>
  <c r="Y4" s="1"/>
  <c r="Z2"/>
  <c r="Z4" s="1"/>
  <c r="AA2"/>
  <c r="AB2"/>
  <c r="AB4" s="1"/>
  <c r="AC2"/>
  <c r="AC4" s="1"/>
  <c r="AD2"/>
  <c r="AD4" s="1"/>
  <c r="AE2"/>
  <c r="AF2"/>
  <c r="AF4" s="1"/>
  <c r="AG2"/>
  <c r="AG4" s="1"/>
  <c r="A3"/>
  <c r="B3"/>
  <c r="B8" s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V5" s="1"/>
  <c r="W3"/>
  <c r="W5" s="1"/>
  <c r="X3"/>
  <c r="X5" s="1"/>
  <c r="Y3"/>
  <c r="Y5" s="1"/>
  <c r="Z3"/>
  <c r="Z5" s="1"/>
  <c r="AA3"/>
  <c r="AA5" s="1"/>
  <c r="AB3"/>
  <c r="AB5" s="1"/>
  <c r="AC3"/>
  <c r="AC5" s="1"/>
  <c r="AD3"/>
  <c r="AD5" s="1"/>
  <c r="AE3"/>
  <c r="AE5" s="1"/>
  <c r="AF3"/>
  <c r="AF5" s="1"/>
  <c r="AG3"/>
  <c r="AG5" s="1"/>
  <c r="AC140" i="2"/>
  <c r="AD140"/>
  <c r="AE140"/>
  <c r="AF140"/>
  <c r="AG140"/>
  <c r="AH140"/>
  <c r="AC141"/>
  <c r="AD141"/>
  <c r="AE141"/>
  <c r="AF141"/>
  <c r="AG141"/>
  <c r="AH141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C140"/>
  <c r="C141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C110"/>
  <c r="T80"/>
  <c r="U80"/>
  <c r="V80"/>
  <c r="W80"/>
  <c r="X80"/>
  <c r="Y80"/>
  <c r="Z80"/>
  <c r="AA80"/>
  <c r="AB80"/>
  <c r="AC80"/>
  <c r="AD80"/>
  <c r="AE80"/>
  <c r="AF80"/>
  <c r="AG80"/>
  <c r="AH80"/>
  <c r="S80"/>
  <c r="D80"/>
  <c r="E80"/>
  <c r="F80"/>
  <c r="G80"/>
  <c r="H80"/>
  <c r="I80"/>
  <c r="J80"/>
  <c r="K80"/>
  <c r="L80"/>
  <c r="M80"/>
  <c r="N80"/>
  <c r="O80"/>
  <c r="P80"/>
  <c r="Q80"/>
  <c r="R80"/>
  <c r="C80"/>
  <c r="T79"/>
  <c r="U79"/>
  <c r="U81" s="1"/>
  <c r="V79"/>
  <c r="W79"/>
  <c r="W81" s="1"/>
  <c r="X79"/>
  <c r="Y79"/>
  <c r="Y81" s="1"/>
  <c r="Z79"/>
  <c r="AA79"/>
  <c r="AA81" s="1"/>
  <c r="AB79"/>
  <c r="AC79"/>
  <c r="AC81" s="1"/>
  <c r="AD79"/>
  <c r="AE79"/>
  <c r="AE81" s="1"/>
  <c r="AF79"/>
  <c r="AG79"/>
  <c r="AG81" s="1"/>
  <c r="AH79"/>
  <c r="S79"/>
  <c r="S81" s="1"/>
  <c r="D79"/>
  <c r="E79"/>
  <c r="E81" s="1"/>
  <c r="F79"/>
  <c r="G79"/>
  <c r="G81" s="1"/>
  <c r="H79"/>
  <c r="I79"/>
  <c r="I81" s="1"/>
  <c r="J79"/>
  <c r="K79"/>
  <c r="K81" s="1"/>
  <c r="L79"/>
  <c r="M79"/>
  <c r="M81" s="1"/>
  <c r="N79"/>
  <c r="O79"/>
  <c r="O81" s="1"/>
  <c r="P79"/>
  <c r="Q79"/>
  <c r="Q81" s="1"/>
  <c r="R79"/>
  <c r="C79"/>
  <c r="C81" s="1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D81"/>
  <c r="F81"/>
  <c r="H81"/>
  <c r="J81"/>
  <c r="L81"/>
  <c r="N81"/>
  <c r="P81"/>
  <c r="R81"/>
  <c r="T81"/>
  <c r="V81"/>
  <c r="X81"/>
  <c r="Z81"/>
  <c r="AB81"/>
  <c r="AD81"/>
  <c r="AF81"/>
  <c r="AH81"/>
  <c r="E22" i="6"/>
  <c r="S78" i="2"/>
  <c r="T78"/>
  <c r="U78"/>
  <c r="V78"/>
  <c r="W78"/>
  <c r="X78"/>
  <c r="Y78"/>
  <c r="Z78"/>
  <c r="AA78"/>
  <c r="AB78"/>
  <c r="AC78"/>
  <c r="AD78"/>
  <c r="AE78"/>
  <c r="AF78"/>
  <c r="AG78"/>
  <c r="AH78"/>
  <c r="B78"/>
  <c r="C78"/>
  <c r="D78"/>
  <c r="E78"/>
  <c r="F78"/>
  <c r="G78"/>
  <c r="H78"/>
  <c r="I78"/>
  <c r="J78"/>
  <c r="K78"/>
  <c r="L78"/>
  <c r="M78"/>
  <c r="N78"/>
  <c r="O78"/>
  <c r="P78"/>
  <c r="Q78"/>
  <c r="R78"/>
  <c r="B46"/>
  <c r="B41"/>
  <c r="I46"/>
  <c r="J46"/>
  <c r="H46"/>
  <c r="H41"/>
  <c r="I41"/>
  <c r="J41"/>
  <c r="R49"/>
  <c r="Q49"/>
  <c r="P49"/>
  <c r="O49"/>
  <c r="N49"/>
  <c r="M49"/>
  <c r="L49"/>
  <c r="K49"/>
  <c r="J49"/>
  <c r="I49"/>
  <c r="H49"/>
  <c r="G49"/>
  <c r="F49"/>
  <c r="E49"/>
  <c r="D49"/>
  <c r="C49"/>
  <c r="R48"/>
  <c r="Q48"/>
  <c r="P48"/>
  <c r="O48"/>
  <c r="N48"/>
  <c r="M48"/>
  <c r="L48"/>
  <c r="K48"/>
  <c r="J48"/>
  <c r="I48"/>
  <c r="H48"/>
  <c r="G48"/>
  <c r="F48"/>
  <c r="E48"/>
  <c r="D48"/>
  <c r="C48"/>
  <c r="D43"/>
  <c r="E43"/>
  <c r="F43"/>
  <c r="G43"/>
  <c r="H43"/>
  <c r="I43"/>
  <c r="J43"/>
  <c r="K43"/>
  <c r="L43"/>
  <c r="M43"/>
  <c r="N43"/>
  <c r="O43"/>
  <c r="P43"/>
  <c r="Q43"/>
  <c r="R43"/>
  <c r="R44"/>
  <c r="D44"/>
  <c r="E44"/>
  <c r="F44"/>
  <c r="G44"/>
  <c r="H44"/>
  <c r="I44"/>
  <c r="J44"/>
  <c r="K44"/>
  <c r="L44"/>
  <c r="M44"/>
  <c r="N44"/>
  <c r="O44"/>
  <c r="P44"/>
  <c r="Q44"/>
  <c r="C44"/>
  <c r="K10"/>
  <c r="C10"/>
  <c r="C5"/>
  <c r="K5"/>
  <c r="D12"/>
  <c r="E12"/>
  <c r="F12"/>
  <c r="G12"/>
  <c r="H12"/>
  <c r="I12"/>
  <c r="J12"/>
  <c r="K12"/>
  <c r="L12"/>
  <c r="M12"/>
  <c r="N12"/>
  <c r="O12"/>
  <c r="P12"/>
  <c r="Q12"/>
  <c r="R12"/>
  <c r="C12"/>
  <c r="D11"/>
  <c r="E11"/>
  <c r="F11"/>
  <c r="G11"/>
  <c r="H11"/>
  <c r="I11"/>
  <c r="J11"/>
  <c r="K11"/>
  <c r="L11"/>
  <c r="M11"/>
  <c r="N11"/>
  <c r="O11"/>
  <c r="P11"/>
  <c r="Q11"/>
  <c r="R11"/>
  <c r="C11"/>
  <c r="D7"/>
  <c r="E7"/>
  <c r="F7"/>
  <c r="G7"/>
  <c r="H7"/>
  <c r="I7"/>
  <c r="J7"/>
  <c r="K7"/>
  <c r="L7"/>
  <c r="M7"/>
  <c r="N7"/>
  <c r="O7"/>
  <c r="P7"/>
  <c r="Q7"/>
  <c r="R7"/>
  <c r="C7"/>
  <c r="D6"/>
  <c r="E6"/>
  <c r="F6"/>
  <c r="G6"/>
  <c r="H6"/>
  <c r="I6"/>
  <c r="J6"/>
  <c r="K6"/>
  <c r="L6"/>
  <c r="M6"/>
  <c r="N6"/>
  <c r="O6"/>
  <c r="P6"/>
  <c r="Q6"/>
  <c r="R6"/>
  <c r="C6"/>
  <c r="C43" s="1"/>
  <c r="Q4" i="1"/>
  <c r="R4"/>
  <c r="S4"/>
  <c r="T4"/>
  <c r="U4"/>
  <c r="Q5"/>
  <c r="R5"/>
  <c r="S5"/>
  <c r="T5"/>
  <c r="U5"/>
  <c r="Q6"/>
  <c r="R6"/>
  <c r="S6"/>
  <c r="T6"/>
  <c r="U6"/>
  <c r="M4"/>
  <c r="N4"/>
  <c r="O4"/>
  <c r="P4"/>
  <c r="M5"/>
  <c r="N5"/>
  <c r="O5"/>
  <c r="P5"/>
  <c r="M6"/>
  <c r="N6"/>
  <c r="O6"/>
  <c r="P6"/>
  <c r="G4"/>
  <c r="H4"/>
  <c r="I4"/>
  <c r="J4"/>
  <c r="K4"/>
  <c r="L4"/>
  <c r="G5"/>
  <c r="H5"/>
  <c r="I5"/>
  <c r="J5"/>
  <c r="K5"/>
  <c r="L5"/>
  <c r="G6"/>
  <c r="H6"/>
  <c r="I6"/>
  <c r="J6"/>
  <c r="K6"/>
  <c r="L6"/>
  <c r="B5"/>
  <c r="D8" s="1"/>
  <c r="C5"/>
  <c r="F6"/>
  <c r="D5"/>
  <c r="E6"/>
  <c r="D4"/>
  <c r="C6"/>
  <c r="E5"/>
  <c r="C4"/>
  <c r="H47" l="1"/>
  <c r="F47"/>
  <c r="B49"/>
  <c r="B36"/>
  <c r="J47"/>
  <c r="B33"/>
  <c r="K34"/>
  <c r="G34"/>
  <c r="J34"/>
  <c r="F34"/>
  <c r="B34"/>
  <c r="F46"/>
  <c r="I47"/>
  <c r="E47"/>
  <c r="B47"/>
  <c r="AG6"/>
  <c r="AC6"/>
  <c r="Y6"/>
  <c r="AD6"/>
  <c r="Z6"/>
  <c r="V6"/>
  <c r="AE6"/>
  <c r="AA6"/>
  <c r="W6"/>
  <c r="AF6"/>
  <c r="AB6"/>
  <c r="X6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B6"/>
  <c r="F7" s="1"/>
  <c r="F5"/>
  <c r="E4"/>
  <c r="B4"/>
  <c r="D7" s="1"/>
  <c r="F4"/>
  <c r="D6"/>
  <c r="F35" l="1"/>
  <c r="F48"/>
  <c r="D35"/>
  <c r="D49"/>
  <c r="D48"/>
  <c r="B11"/>
  <c r="D11" s="1"/>
  <c r="F11" s="1"/>
  <c r="B52" l="1"/>
  <c r="D52" s="1"/>
  <c r="F52" s="1"/>
  <c r="B50"/>
  <c r="B39"/>
  <c r="D39" s="1"/>
  <c r="F39" s="1"/>
  <c r="B37"/>
  <c r="B9"/>
  <c r="D9" l="1"/>
  <c r="F9" s="1"/>
  <c r="C145" i="2"/>
  <c r="B38" i="1"/>
  <c r="L14" i="7" s="1"/>
  <c r="L13"/>
  <c r="B51" i="1"/>
  <c r="L41" i="7" s="1"/>
  <c r="L40"/>
  <c r="D50" i="1"/>
  <c r="F50" s="1"/>
  <c r="D37"/>
  <c r="F37" s="1"/>
  <c r="D10"/>
  <c r="F10" s="1"/>
  <c r="B10"/>
  <c r="C146" i="2" s="1"/>
  <c r="G77" i="7" l="1"/>
  <c r="F135" s="1"/>
  <c r="K77"/>
  <c r="J135" s="1"/>
  <c r="F77"/>
  <c r="E135" s="1"/>
  <c r="J77"/>
  <c r="I135" s="1"/>
  <c r="D77"/>
  <c r="C135" s="1"/>
  <c r="E77"/>
  <c r="D135" s="1"/>
  <c r="I77"/>
  <c r="H135" s="1"/>
  <c r="M77"/>
  <c r="L135" s="1"/>
  <c r="H77"/>
  <c r="G135" s="1"/>
  <c r="L77"/>
  <c r="K135" s="1"/>
  <c r="C61"/>
  <c r="C60"/>
  <c r="D51" i="1"/>
  <c r="F51" s="1"/>
  <c r="D38"/>
  <c r="F38" s="1"/>
  <c r="E76" i="7" l="1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</calcChain>
</file>

<file path=xl/sharedStrings.xml><?xml version="1.0" encoding="utf-8"?>
<sst xmlns="http://schemas.openxmlformats.org/spreadsheetml/2006/main" count="186" uniqueCount="109">
  <si>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</si>
  <si>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</si>
  <si>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</si>
  <si>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</si>
  <si>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</si>
  <si>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</si>
  <si>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</si>
  <si>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</si>
  <si>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</si>
  <si>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</si>
  <si>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</si>
  <si>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</si>
  <si>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</si>
  <si>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</si>
  <si>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</si>
  <si>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</si>
  <si>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</si>
  <si>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</si>
  <si>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</si>
  <si>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</si>
  <si>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</si>
  <si>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</si>
  <si>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</si>
  <si>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</si>
  <si>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</si>
  <si>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</si>
  <si>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</si>
  <si>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</si>
  <si>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</si>
  <si>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</si>
  <si>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</si>
  <si>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</si>
  <si>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</si>
  <si>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</si>
  <si>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</si>
  <si>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</si>
  <si>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t>см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</si>
  <si>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</si>
  <si>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</si>
  <si>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</si>
  <si>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</si>
  <si>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</si>
  <si>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</si>
  <si>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</si>
  <si>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</si>
  <si>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</si>
  <si>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</si>
  <si>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</si>
  <si>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</si>
  <si>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</si>
  <si>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</si>
  <si>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</si>
  <si>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</si>
  <si>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</si>
  <si>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</si>
  <si>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</si>
  <si>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</si>
  <si>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</si>
  <si>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</si>
  <si>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</si>
  <si>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</si>
  <si>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</si>
  <si>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</si>
  <si>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</si>
  <si>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</si>
  <si>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</si>
  <si>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</si>
  <si>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</si>
  <si>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</si>
  <si>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</si>
  <si>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</si>
  <si>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</si>
  <si>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</si>
  <si>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</si>
  <si>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</si>
  <si>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</si>
  <si>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</si>
  <si>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</si>
  <si>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</si>
  <si>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</si>
  <si>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</si>
  <si>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</si>
  <si>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</si>
  <si>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</si>
  <si>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</si>
  <si>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</si>
  <si>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</si>
  <si>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</si>
  <si>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</si>
  <si>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</si>
  <si>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</si>
  <si>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</si>
  <si>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</si>
  <si>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</si>
  <si>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</si>
  <si>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</si>
  <si>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</si>
  <si>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</si>
  <si>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</si>
  <si>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</si>
  <si>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</si>
  <si>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</si>
  <si>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</si>
  <si>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</si>
  <si>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</si>
  <si>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*10^5, моль/л</t>
    </r>
  </si>
  <si>
    <t>Зависимость константы диссоциации Кс от температуры Т (табл)</t>
  </si>
  <si>
    <t>Зависимость константы диссоциации Кс от температуры Т (экспер)</t>
  </si>
  <si>
    <t>Диссоциация N2O4 в различных средах</t>
  </si>
</sst>
</file>

<file path=xl/styles.xml><?xml version="1.0" encoding="utf-8"?>
<styleSheet xmlns="http://schemas.openxmlformats.org/spreadsheetml/2006/main">
  <numFmts count="1">
    <numFmt numFmtId="165" formatCode="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3" xfId="0" applyFill="1" applyBorder="1" applyAlignment="1">
      <alignment horizontal="center"/>
    </xf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см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см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см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см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axId val="173482368"/>
        <c:axId val="167635584"/>
      </c:scatterChart>
      <c:valAx>
        <c:axId val="173482368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7635584"/>
        <c:crosses val="autoZero"/>
        <c:crossBetween val="midCat"/>
      </c:valAx>
      <c:valAx>
        <c:axId val="167635584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348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Зависимость константы диссоциации К</a:t>
            </a:r>
            <a:r>
              <a:rPr lang="ru-RU" sz="1100"/>
              <a:t>с</a:t>
            </a:r>
            <a:r>
              <a:rPr lang="ru-RU" sz="1600"/>
              <a:t> от температуры Т</a:t>
            </a:r>
          </a:p>
        </c:rich>
      </c:tx>
      <c:layout>
        <c:manualLayout>
          <c:xMode val="edge"/>
          <c:yMode val="edge"/>
          <c:x val="0.12878825281974887"/>
          <c:y val="6.2706270627062702E-2"/>
        </c:manualLayout>
      </c:layout>
    </c:title>
    <c:plotArea>
      <c:layout>
        <c:manualLayout>
          <c:layoutTarget val="inner"/>
          <c:xMode val="edge"/>
          <c:yMode val="edge"/>
          <c:x val="7.496904394127768E-2"/>
          <c:y val="0.19819313427405733"/>
          <c:w val="0.65119216854649931"/>
          <c:h val="0.72572880122657935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константы диссоциации Кс от температуры Т (табл)</c:v>
                </c:pt>
              </c:strCache>
            </c:strRef>
          </c:tx>
          <c:xVal>
            <c:numRef>
              <c:f>'Обратная задача'!$C$134:$L$134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задача'!$C$135:$L$135</c:f>
              <c:numCache>
                <c:formatCode>General</c:formatCode>
                <c:ptCount val="10"/>
                <c:pt idx="0">
                  <c:v>0.69818168662226499</c:v>
                </c:pt>
                <c:pt idx="1">
                  <c:v>1.7139359652543875</c:v>
                </c:pt>
                <c:pt idx="2">
                  <c:v>3.8755632593069884</c:v>
                </c:pt>
                <c:pt idx="3">
                  <c:v>8.1362028016547665</c:v>
                </c:pt>
                <c:pt idx="4">
                  <c:v>15.967468762854176</c:v>
                </c:pt>
                <c:pt idx="5">
                  <c:v>29.469834185020574</c:v>
                </c:pt>
                <c:pt idx="6">
                  <c:v>51.419045279040603</c:v>
                </c:pt>
                <c:pt idx="7">
                  <c:v>85.207491822891939</c:v>
                </c:pt>
                <c:pt idx="8">
                  <c:v>134.65013581882795</c:v>
                </c:pt>
                <c:pt idx="9">
                  <c:v>203.6464705393376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9033216"/>
        <c:axId val="179031040"/>
      </c:scatterChart>
      <c:valAx>
        <c:axId val="179033216"/>
        <c:scaling>
          <c:orientation val="minMax"/>
          <c:max val="380"/>
          <c:min val="26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197"/>
              <c:y val="0.9498183519139316"/>
            </c:manualLayout>
          </c:layout>
        </c:title>
        <c:numFmt formatCode="General" sourceLinked="1"/>
        <c:tickLblPos val="nextTo"/>
        <c:crossAx val="179031040"/>
        <c:crosses val="autoZero"/>
        <c:crossBetween val="midCat"/>
      </c:valAx>
      <c:valAx>
        <c:axId val="179031040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Кс*10^5,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03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7"/>
          <c:w val="0.25039872408293462"/>
          <c:h val="0.3509295496478781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0 см)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0 см)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axId val="172832256"/>
        <c:axId val="133868928"/>
      </c:scatterChart>
      <c:valAx>
        <c:axId val="172832256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33868928"/>
        <c:crosses val="autoZero"/>
        <c:crossBetween val="midCat"/>
      </c:valAx>
      <c:valAx>
        <c:axId val="133868928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2832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07"/>
          <c:y val="0.3973278631423835"/>
          <c:w val="0.30467503961941"/>
          <c:h val="0.2149230473695656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89831808"/>
        <c:axId val="189829888"/>
      </c:scatterChart>
      <c:valAx>
        <c:axId val="189831808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89829888"/>
        <c:crosses val="autoZero"/>
        <c:crossBetween val="midCat"/>
      </c:valAx>
      <c:valAx>
        <c:axId val="189829888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8983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21"/>
          <c:y val="0.4290463553657522"/>
          <c:w val="0.33467734387240688"/>
          <c:h val="0.14672364672364671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92697856"/>
        <c:axId val="192696320"/>
      </c:scatterChart>
      <c:valAx>
        <c:axId val="192697856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92696320"/>
        <c:crosses val="autoZero"/>
        <c:crossBetween val="midCat"/>
      </c:valAx>
      <c:valAx>
        <c:axId val="192696320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9269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89436672"/>
        <c:axId val="189336576"/>
      </c:scatterChart>
      <c:valAx>
        <c:axId val="189436672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89336576"/>
        <c:crosses val="autoZero"/>
        <c:crossBetween val="midCat"/>
      </c:valAx>
      <c:valAx>
        <c:axId val="189336576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8943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v>y = f (x)</c:v>
          </c:tx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МНК!$B$2:$P$2</c:f>
              <c:numCache>
                <c:formatCode>General</c:formatCode>
                <c:ptCount val="15"/>
                <c:pt idx="0">
                  <c:v>3.6609921288669233E-3</c:v>
                </c:pt>
                <c:pt idx="1">
                  <c:v>3.6609921288669233E-3</c:v>
                </c:pt>
                <c:pt idx="2">
                  <c:v>3.6609921288669233E-3</c:v>
                </c:pt>
                <c:pt idx="3">
                  <c:v>3.6609921288669233E-3</c:v>
                </c:pt>
                <c:pt idx="4">
                  <c:v>3.6609921288669233E-3</c:v>
                </c:pt>
                <c:pt idx="5">
                  <c:v>3.6609921288669233E-3</c:v>
                </c:pt>
                <c:pt idx="6">
                  <c:v>3.6609921288669233E-3</c:v>
                </c:pt>
                <c:pt idx="7">
                  <c:v>3.6609921288669233E-3</c:v>
                </c:pt>
                <c:pt idx="8">
                  <c:v>3.6609921288669233E-3</c:v>
                </c:pt>
                <c:pt idx="9">
                  <c:v>3.6609921288669233E-3</c:v>
                </c:pt>
                <c:pt idx="10">
                  <c:v>3.6609921288669233E-3</c:v>
                </c:pt>
                <c:pt idx="11">
                  <c:v>3.6609921288669233E-3</c:v>
                </c:pt>
                <c:pt idx="12">
                  <c:v>3.6609921288669233E-3</c:v>
                </c:pt>
                <c:pt idx="13">
                  <c:v>3.6609921288669233E-3</c:v>
                </c:pt>
                <c:pt idx="14">
                  <c:v>3.6609921288669233E-3</c:v>
                </c:pt>
              </c:numCache>
            </c:numRef>
          </c:xVal>
          <c:yVal>
            <c:numRef>
              <c:f>МНК!$B$3:$P$3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/>
        <c:axId val="144153600"/>
        <c:axId val="144381056"/>
      </c:scatterChart>
      <c:valAx>
        <c:axId val="144153600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44381056"/>
        <c:crosses val="autoZero"/>
        <c:crossBetween val="midCat"/>
        <c:minorUnit val="0.2"/>
      </c:valAx>
      <c:valAx>
        <c:axId val="144381056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44153600"/>
        <c:crosses val="autoZero"/>
        <c:crossBetween val="midCat"/>
        <c:minorUnit val="0.2"/>
      </c:valAx>
    </c:plotArea>
    <c:legend>
      <c:legendPos val="r"/>
      <c:layout/>
    </c:legend>
    <c:plotVisOnly val="1"/>
  </c:chart>
  <c:spPr>
    <a:noFill/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126521344"/>
        <c:axId val="126515072"/>
      </c:scatterChart>
      <c:valAx>
        <c:axId val="126521344"/>
        <c:scaling>
          <c:orientation val="minMax"/>
          <c:min val="200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26515072"/>
        <c:crosses val="autoZero"/>
        <c:crossBetween val="midCat"/>
      </c:valAx>
      <c:valAx>
        <c:axId val="12651507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12652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78392064"/>
        <c:axId val="178390144"/>
      </c:scatterChart>
      <c:valAx>
        <c:axId val="178392064"/>
        <c:scaling>
          <c:orientation val="minMax"/>
          <c:min val="250"/>
        </c:scaling>
        <c:axPos val="b"/>
        <c:numFmt formatCode="General" sourceLinked="1"/>
        <c:tickLblPos val="nextTo"/>
        <c:crossAx val="178390144"/>
        <c:crosses val="autoZero"/>
        <c:crossBetween val="midCat"/>
      </c:valAx>
      <c:valAx>
        <c:axId val="178390144"/>
        <c:scaling>
          <c:orientation val="minMax"/>
        </c:scaling>
        <c:axPos val="l"/>
        <c:majorGridlines/>
        <c:numFmt formatCode="General" sourceLinked="1"/>
        <c:tickLblPos val="nextTo"/>
        <c:crossAx val="17839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'Обратная задача'!$B$71:$I$71</c:f>
          <c:strCache>
            <c:ptCount val="1"/>
            <c:pt idx="0">
              <c:v>Зависимость ln(Kp) от температуры T (табличная и экспериментальная)</c:v>
            </c:pt>
          </c:strCache>
        </c:strRef>
      </c:tx>
      <c:layout/>
      <c:txPr>
        <a:bodyPr/>
        <a:lstStyle/>
        <a:p>
          <a:pPr>
            <a:defRPr sz="12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Отчет!$C$141:$AH$141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92418176"/>
        <c:axId val="192281216"/>
      </c:scatterChart>
      <c:valAx>
        <c:axId val="192418176"/>
        <c:scaling>
          <c:orientation val="minMax"/>
          <c:max val="370"/>
          <c:min val="270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92281216"/>
        <c:crosses val="autoZero"/>
        <c:crossBetween val="midCat"/>
      </c:valAx>
      <c:valAx>
        <c:axId val="192281216"/>
        <c:scaling>
          <c:orientation val="minMax"/>
          <c:max val="2.5"/>
          <c:min val="-4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92418176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135</xdr:row>
      <xdr:rowOff>114300</xdr:rowOff>
    </xdr:from>
    <xdr:to>
      <xdr:col>14</xdr:col>
      <xdr:colOff>0</xdr:colOff>
      <xdr:row>159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zoomScale="85" zoomScaleNormal="85" workbookViewId="0">
      <selection activeCell="B180" sqref="B180:H184"/>
    </sheetView>
  </sheetViews>
  <sheetFormatPr defaultRowHeight="14.4"/>
  <cols>
    <col min="1" max="1" width="8.88671875" style="16"/>
    <col min="2" max="2" width="10" style="13" customWidth="1"/>
    <col min="3" max="16384" width="8.88671875" style="13"/>
  </cols>
  <sheetData>
    <row r="2" spans="1:22" ht="24" customHeight="1">
      <c r="B2" s="18" t="s">
        <v>18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3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21" t="s">
        <v>35</v>
      </c>
      <c r="C4" s="21"/>
      <c r="D4" s="21"/>
      <c r="E4" s="21"/>
      <c r="F4" s="37" t="s">
        <v>24</v>
      </c>
      <c r="G4" s="13" t="s">
        <v>36</v>
      </c>
      <c r="H4" s="39"/>
    </row>
    <row r="5" spans="1:22">
      <c r="A5" s="54"/>
      <c r="B5" s="57"/>
      <c r="C5" s="58" t="str">
        <f>CONCATENATE(B7," при повышении T (",F4," = ",H4,G4," )")</f>
        <v>D(T) при повышении T (λ = см )</v>
      </c>
      <c r="D5" s="58"/>
      <c r="E5" s="58"/>
      <c r="F5" s="58"/>
      <c r="G5" s="58"/>
      <c r="H5" s="58"/>
      <c r="I5" s="58"/>
      <c r="J5" s="58"/>
      <c r="K5" s="59" t="str">
        <f>CONCATENATE(B7," при понижении T (",F4," = ",H4,G4," )")</f>
        <v>D(T) при понижении T (λ = см )</v>
      </c>
      <c r="L5" s="58"/>
      <c r="M5" s="58"/>
      <c r="N5" s="58"/>
      <c r="O5" s="58"/>
      <c r="P5" s="58"/>
      <c r="Q5" s="58"/>
      <c r="R5" s="58"/>
    </row>
    <row r="6" spans="1:22">
      <c r="A6" s="54"/>
      <c r="B6" s="62" t="s">
        <v>33</v>
      </c>
      <c r="C6" s="13">
        <f>Лаб.Журнал!C6+273.15</f>
        <v>273.14999999999998</v>
      </c>
      <c r="D6" s="13">
        <f>Лаб.Журнал!D6+273.15</f>
        <v>273.14999999999998</v>
      </c>
      <c r="E6" s="13">
        <f>Лаб.Журнал!E6+273.15</f>
        <v>273.14999999999998</v>
      </c>
      <c r="F6" s="13">
        <f>Лаб.Журнал!F6+273.15</f>
        <v>273.14999999999998</v>
      </c>
      <c r="G6" s="13">
        <f>Лаб.Журнал!G6+273.15</f>
        <v>273.14999999999998</v>
      </c>
      <c r="H6" s="13">
        <f>Лаб.Журнал!H6+273.15</f>
        <v>273.14999999999998</v>
      </c>
      <c r="I6" s="13">
        <f>Лаб.Журнал!I6+273.15</f>
        <v>273.14999999999998</v>
      </c>
      <c r="J6" s="55">
        <f>Лаб.Журнал!J6+273.15</f>
        <v>273.14999999999998</v>
      </c>
      <c r="K6" s="57">
        <f>Лаб.Журнал!K6+273.15</f>
        <v>273.14999999999998</v>
      </c>
      <c r="L6" s="13">
        <f>Лаб.Журнал!L6+273.15</f>
        <v>273.14999999999998</v>
      </c>
      <c r="M6" s="13">
        <f>Лаб.Журнал!M6+273.15</f>
        <v>273.14999999999998</v>
      </c>
      <c r="N6" s="13">
        <f>Лаб.Журнал!N6+273.15</f>
        <v>273.14999999999998</v>
      </c>
      <c r="O6" s="13">
        <f>Лаб.Журнал!O6+273.15</f>
        <v>273.14999999999998</v>
      </c>
      <c r="P6" s="13">
        <f>Лаб.Журнал!P6+273.15</f>
        <v>273.14999999999998</v>
      </c>
      <c r="Q6" s="13">
        <f>Лаб.Журнал!Q6+273.15</f>
        <v>273.14999999999998</v>
      </c>
      <c r="R6" s="55">
        <f>Лаб.Журнал!R6+273.15</f>
        <v>273.14999999999998</v>
      </c>
    </row>
    <row r="7" spans="1:22">
      <c r="A7" s="54"/>
      <c r="B7" s="62" t="s">
        <v>34</v>
      </c>
      <c r="C7" s="48" t="e">
        <f>AVERAGE(Лаб.Журнал!C7:C9)</f>
        <v>#DIV/0!</v>
      </c>
      <c r="D7" s="48" t="e">
        <f>AVERAGE(Лаб.Журнал!D7:D9)</f>
        <v>#DIV/0!</v>
      </c>
      <c r="E7" s="48" t="e">
        <f>AVERAGE(Лаб.Журнал!E7:E9)</f>
        <v>#DIV/0!</v>
      </c>
      <c r="F7" s="48" t="e">
        <f>AVERAGE(Лаб.Журнал!F7:F9)</f>
        <v>#DIV/0!</v>
      </c>
      <c r="G7" s="48" t="e">
        <f>AVERAGE(Лаб.Журнал!G7:G9)</f>
        <v>#DIV/0!</v>
      </c>
      <c r="H7" s="48" t="e">
        <f>AVERAGE(Лаб.Журнал!H7:H9)</f>
        <v>#DIV/0!</v>
      </c>
      <c r="I7" s="48" t="e">
        <f>AVERAGE(Лаб.Журнал!I7:I9)</f>
        <v>#DIV/0!</v>
      </c>
      <c r="J7" s="49" t="e">
        <f>AVERAGE(Лаб.Журнал!J7:J9)</f>
        <v>#DIV/0!</v>
      </c>
      <c r="K7" s="47" t="e">
        <f>AVERAGE(Лаб.Журнал!K7:K9)</f>
        <v>#DIV/0!</v>
      </c>
      <c r="L7" s="48" t="e">
        <f>AVERAGE(Лаб.Журнал!L7:L9)</f>
        <v>#DIV/0!</v>
      </c>
      <c r="M7" s="48" t="e">
        <f>AVERAGE(Лаб.Журнал!M7:M9)</f>
        <v>#DIV/0!</v>
      </c>
      <c r="N7" s="48" t="e">
        <f>AVERAGE(Лаб.Журнал!N7:N9)</f>
        <v>#DIV/0!</v>
      </c>
      <c r="O7" s="48" t="e">
        <f>AVERAGE(Лаб.Журнал!O7:O9)</f>
        <v>#DIV/0!</v>
      </c>
      <c r="P7" s="48" t="e">
        <f>AVERAGE(Лаб.Журнал!P7:P9)</f>
        <v>#DIV/0!</v>
      </c>
      <c r="Q7" s="48" t="e">
        <f>AVERAGE(Лаб.Журнал!Q7:Q9)</f>
        <v>#DIV/0!</v>
      </c>
      <c r="R7" s="49" t="e">
        <f>AVERAGE(Лаб.Журнал!R7:R9)</f>
        <v>#DIV/0!</v>
      </c>
    </row>
    <row r="8" spans="1:22">
      <c r="K8" s="15"/>
    </row>
    <row r="9" spans="1:22">
      <c r="B9" s="21" t="s">
        <v>35</v>
      </c>
      <c r="C9" s="21"/>
      <c r="D9" s="21"/>
      <c r="E9" s="21"/>
      <c r="F9" s="37" t="s">
        <v>24</v>
      </c>
      <c r="G9" s="13" t="s">
        <v>36</v>
      </c>
      <c r="H9" s="39"/>
      <c r="I9" s="60"/>
      <c r="J9" s="61"/>
      <c r="K9" s="61"/>
    </row>
    <row r="10" spans="1:22">
      <c r="C10" s="58" t="str">
        <f>CONCATENATE(B12," при повышении T (",F9," = ",H9,G9," )")</f>
        <v>D(T) при повышении T (λ = см )</v>
      </c>
      <c r="D10" s="58"/>
      <c r="E10" s="58"/>
      <c r="F10" s="58"/>
      <c r="G10" s="58"/>
      <c r="H10" s="58"/>
      <c r="I10" s="58"/>
      <c r="J10" s="58"/>
      <c r="K10" s="59" t="str">
        <f>CONCATENATE(B12," при понижении T (",F9," = ",H9,G9," )")</f>
        <v>D(T) при понижении T (λ = см )</v>
      </c>
      <c r="L10" s="58"/>
      <c r="M10" s="58"/>
      <c r="N10" s="58"/>
      <c r="O10" s="58"/>
      <c r="P10" s="58"/>
      <c r="Q10" s="58"/>
      <c r="R10" s="58"/>
    </row>
    <row r="11" spans="1:22">
      <c r="B11" s="22" t="s">
        <v>33</v>
      </c>
      <c r="C11" s="57">
        <f>Лаб.Журнал!C13+273.15</f>
        <v>273.14999999999998</v>
      </c>
      <c r="D11" s="13">
        <f>Лаб.Журнал!D13+273.15</f>
        <v>273.14999999999998</v>
      </c>
      <c r="E11" s="13">
        <f>Лаб.Журнал!E13+273.15</f>
        <v>273.14999999999998</v>
      </c>
      <c r="F11" s="13">
        <f>Лаб.Журнал!F13+273.15</f>
        <v>273.14999999999998</v>
      </c>
      <c r="G11" s="13">
        <f>Лаб.Журнал!G13+273.15</f>
        <v>273.14999999999998</v>
      </c>
      <c r="H11" s="13">
        <f>Лаб.Журнал!H13+273.15</f>
        <v>273.14999999999998</v>
      </c>
      <c r="I11" s="13">
        <f>Лаб.Журнал!I13+273.15</f>
        <v>273.14999999999998</v>
      </c>
      <c r="J11" s="55">
        <f>Лаб.Журнал!J13+273.15</f>
        <v>273.14999999999998</v>
      </c>
      <c r="K11" s="57">
        <f>Лаб.Журнал!K13+273.15</f>
        <v>273.14999999999998</v>
      </c>
      <c r="L11" s="13">
        <f>Лаб.Журнал!L13+273.15</f>
        <v>273.14999999999998</v>
      </c>
      <c r="M11" s="13">
        <f>Лаб.Журнал!M13+273.15</f>
        <v>273.14999999999998</v>
      </c>
      <c r="N11" s="13">
        <f>Лаб.Журнал!N13+273.15</f>
        <v>273.14999999999998</v>
      </c>
      <c r="O11" s="13">
        <f>Лаб.Журнал!O13+273.15</f>
        <v>273.14999999999998</v>
      </c>
      <c r="P11" s="13">
        <f>Лаб.Журнал!P13+273.15</f>
        <v>273.14999999999998</v>
      </c>
      <c r="Q11" s="13">
        <f>Лаб.Журнал!Q13+273.15</f>
        <v>273.14999999999998</v>
      </c>
      <c r="R11" s="55">
        <f>Лаб.Журнал!R13+273.15</f>
        <v>273.14999999999998</v>
      </c>
    </row>
    <row r="12" spans="1:22">
      <c r="B12" s="22" t="s">
        <v>34</v>
      </c>
      <c r="C12" s="47" t="e">
        <f>AVERAGE(Лаб.Журнал!C14:C16)</f>
        <v>#DIV/0!</v>
      </c>
      <c r="D12" s="48" t="e">
        <f>AVERAGE(Лаб.Журнал!D14:D16)</f>
        <v>#DIV/0!</v>
      </c>
      <c r="E12" s="48" t="e">
        <f>AVERAGE(Лаб.Журнал!E14:E16)</f>
        <v>#DIV/0!</v>
      </c>
      <c r="F12" s="48" t="e">
        <f>AVERAGE(Лаб.Журнал!F14:F16)</f>
        <v>#DIV/0!</v>
      </c>
      <c r="G12" s="48" t="e">
        <f>AVERAGE(Лаб.Журнал!G14:G16)</f>
        <v>#DIV/0!</v>
      </c>
      <c r="H12" s="48" t="e">
        <f>AVERAGE(Лаб.Журнал!H14:H16)</f>
        <v>#DIV/0!</v>
      </c>
      <c r="I12" s="48" t="e">
        <f>AVERAGE(Лаб.Журнал!I14:I16)</f>
        <v>#DIV/0!</v>
      </c>
      <c r="J12" s="49" t="e">
        <f>AVERAGE(Лаб.Журнал!J14:J16)</f>
        <v>#DIV/0!</v>
      </c>
      <c r="K12" s="47" t="e">
        <f>AVERAGE(Лаб.Журнал!K14:K16)</f>
        <v>#DIV/0!</v>
      </c>
      <c r="L12" s="48" t="e">
        <f>AVERAGE(Лаб.Журнал!L14:L16)</f>
        <v>#DIV/0!</v>
      </c>
      <c r="M12" s="48" t="e">
        <f>AVERAGE(Лаб.Журнал!M14:M16)</f>
        <v>#DIV/0!</v>
      </c>
      <c r="N12" s="48" t="e">
        <f>AVERAGE(Лаб.Журнал!N14:N16)</f>
        <v>#DIV/0!</v>
      </c>
      <c r="O12" s="48" t="e">
        <f>AVERAGE(Лаб.Журнал!O14:O16)</f>
        <v>#DIV/0!</v>
      </c>
      <c r="P12" s="48" t="e">
        <f>AVERAGE(Лаб.Журнал!P14:P16)</f>
        <v>#DIV/0!</v>
      </c>
      <c r="Q12" s="48" t="e">
        <f>AVERAGE(Лаб.Журнал!Q14:Q16)</f>
        <v>#DIV/0!</v>
      </c>
      <c r="R12" s="49" t="e">
        <f>AVERAGE(Лаб.Журнал!R14:R16)</f>
        <v>#DIV/0!</v>
      </c>
    </row>
    <row r="25" spans="3:3">
      <c r="C25" s="15"/>
    </row>
    <row r="26" spans="3:3">
      <c r="C26" s="15"/>
    </row>
    <row r="39" spans="1:18">
      <c r="A39" s="16">
        <v>2</v>
      </c>
      <c r="B39" s="42" t="s">
        <v>38</v>
      </c>
      <c r="C39" s="52"/>
      <c r="D39" s="52"/>
      <c r="E39" s="52"/>
      <c r="F39" s="52"/>
      <c r="G39" s="52"/>
      <c r="H39" s="52"/>
      <c r="I39" s="52"/>
      <c r="J39" s="52"/>
    </row>
    <row r="41" spans="1:18">
      <c r="B41" s="42" t="str">
        <f>CONCATENATE("Зависимость концентрации NO2 от Т (",H41," = ",J41," ",I41,")")</f>
        <v>Зависимость концентрации NO2 от Т (λ = 0 см)</v>
      </c>
      <c r="C41" s="52"/>
      <c r="D41" s="52"/>
      <c r="E41" s="52"/>
      <c r="F41" s="52"/>
      <c r="G41" s="52"/>
      <c r="H41" s="22" t="str">
        <f t="shared" ref="H41:J41" si="0">F4</f>
        <v>λ</v>
      </c>
      <c r="I41" s="13" t="str">
        <f t="shared" si="0"/>
        <v>см</v>
      </c>
      <c r="J41" s="53">
        <f t="shared" si="0"/>
        <v>0</v>
      </c>
    </row>
    <row r="43" spans="1:18">
      <c r="A43" s="54"/>
      <c r="B43" s="62" t="s">
        <v>33</v>
      </c>
      <c r="C43" s="45">
        <f>C6</f>
        <v>273.14999999999998</v>
      </c>
      <c r="D43" s="45">
        <f t="shared" ref="D43:R43" si="1">D6</f>
        <v>273.14999999999998</v>
      </c>
      <c r="E43" s="45">
        <f t="shared" si="1"/>
        <v>273.14999999999998</v>
      </c>
      <c r="F43" s="45">
        <f t="shared" si="1"/>
        <v>273.14999999999998</v>
      </c>
      <c r="G43" s="45">
        <f t="shared" si="1"/>
        <v>273.14999999999998</v>
      </c>
      <c r="H43" s="45">
        <f t="shared" si="1"/>
        <v>273.14999999999998</v>
      </c>
      <c r="I43" s="45">
        <f t="shared" si="1"/>
        <v>273.14999999999998</v>
      </c>
      <c r="J43" s="46">
        <f t="shared" si="1"/>
        <v>273.14999999999998</v>
      </c>
      <c r="K43" s="44">
        <f t="shared" si="1"/>
        <v>273.14999999999998</v>
      </c>
      <c r="L43" s="45">
        <f t="shared" si="1"/>
        <v>273.14999999999998</v>
      </c>
      <c r="M43" s="45">
        <f t="shared" si="1"/>
        <v>273.14999999999998</v>
      </c>
      <c r="N43" s="45">
        <f t="shared" si="1"/>
        <v>273.14999999999998</v>
      </c>
      <c r="O43" s="45">
        <f t="shared" si="1"/>
        <v>273.14999999999998</v>
      </c>
      <c r="P43" s="45">
        <f t="shared" si="1"/>
        <v>273.14999999999998</v>
      </c>
      <c r="Q43" s="45">
        <f t="shared" si="1"/>
        <v>273.14999999999998</v>
      </c>
      <c r="R43" s="46">
        <f t="shared" si="1"/>
        <v>273.14999999999998</v>
      </c>
    </row>
    <row r="44" spans="1:18">
      <c r="A44" s="54"/>
      <c r="B44" s="62" t="s">
        <v>37</v>
      </c>
      <c r="C44" s="48" t="e">
        <f>C7/Лаб.Журнал!$C$20/Лаб.Журнал!$C$21</f>
        <v>#DIV/0!</v>
      </c>
      <c r="D44" s="48" t="e">
        <f>D7/Лаб.Журнал!$C$20/Лаб.Журнал!$C$21</f>
        <v>#DIV/0!</v>
      </c>
      <c r="E44" s="48" t="e">
        <f>E7/Лаб.Журнал!$C$20/Лаб.Журнал!$C$21</f>
        <v>#DIV/0!</v>
      </c>
      <c r="F44" s="48" t="e">
        <f>F7/Лаб.Журнал!$C$20/Лаб.Журнал!$C$21</f>
        <v>#DIV/0!</v>
      </c>
      <c r="G44" s="48" t="e">
        <f>G7/Лаб.Журнал!$C$20/Лаб.Журнал!$C$21</f>
        <v>#DIV/0!</v>
      </c>
      <c r="H44" s="48" t="e">
        <f>H7/Лаб.Журнал!$C$20/Лаб.Журнал!$C$21</f>
        <v>#DIV/0!</v>
      </c>
      <c r="I44" s="48" t="e">
        <f>I7/Лаб.Журнал!$C$20/Лаб.Журнал!$C$21</f>
        <v>#DIV/0!</v>
      </c>
      <c r="J44" s="49" t="e">
        <f>J7/Лаб.Журнал!$C$20/Лаб.Журнал!$C$21</f>
        <v>#DIV/0!</v>
      </c>
      <c r="K44" s="47" t="e">
        <f>K7/Лаб.Журнал!$C$20/Лаб.Журнал!$C$21</f>
        <v>#DIV/0!</v>
      </c>
      <c r="L44" s="48" t="e">
        <f>L7/Лаб.Журнал!$C$20/Лаб.Журнал!$C$21</f>
        <v>#DIV/0!</v>
      </c>
      <c r="M44" s="48" t="e">
        <f>M7/Лаб.Журнал!$C$20/Лаб.Журнал!$C$21</f>
        <v>#DIV/0!</v>
      </c>
      <c r="N44" s="48" t="e">
        <f>N7/Лаб.Журнал!$C$20/Лаб.Журнал!$C$21</f>
        <v>#DIV/0!</v>
      </c>
      <c r="O44" s="48" t="e">
        <f>O7/Лаб.Журнал!$C$20/Лаб.Журнал!$C$21</f>
        <v>#DIV/0!</v>
      </c>
      <c r="P44" s="48" t="e">
        <f>P7/Лаб.Журнал!$C$20/Лаб.Журнал!$C$21</f>
        <v>#DIV/0!</v>
      </c>
      <c r="Q44" s="48" t="e">
        <f>Q7/Лаб.Журнал!$C$20/Лаб.Журнал!$C$21</f>
        <v>#DIV/0!</v>
      </c>
      <c r="R44" s="49" t="e">
        <f>R7/Лаб.Журнал!$C$20/Лаб.Журнал!$C$21</f>
        <v>#DIV/0!</v>
      </c>
    </row>
    <row r="46" spans="1:18">
      <c r="B46" s="42" t="str">
        <f>CONCATENATE("Зависимость концентрации NO2 от Т (",H46," = ",J46," ",I46,")")</f>
        <v>Зависимость концентрации NO2 от Т (λ = 0 см)</v>
      </c>
      <c r="C46" s="52"/>
      <c r="D46" s="52"/>
      <c r="E46" s="52"/>
      <c r="F46" s="52"/>
      <c r="G46" s="52"/>
      <c r="H46" s="22" t="str">
        <f t="shared" ref="H46" si="2">F9</f>
        <v>λ</v>
      </c>
      <c r="I46" s="13" t="str">
        <f>G9</f>
        <v>см</v>
      </c>
      <c r="J46" s="53">
        <f t="shared" ref="J46" si="3">H9</f>
        <v>0</v>
      </c>
    </row>
    <row r="47" spans="1:18"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>
      <c r="A48" s="54"/>
      <c r="B48" s="62" t="s">
        <v>33</v>
      </c>
      <c r="C48" s="45">
        <f>C11</f>
        <v>273.14999999999998</v>
      </c>
      <c r="D48" s="45">
        <f t="shared" ref="D48:R48" si="4">D11</f>
        <v>273.14999999999998</v>
      </c>
      <c r="E48" s="45">
        <f t="shared" si="4"/>
        <v>273.14999999999998</v>
      </c>
      <c r="F48" s="45">
        <f t="shared" si="4"/>
        <v>273.14999999999998</v>
      </c>
      <c r="G48" s="45">
        <f t="shared" si="4"/>
        <v>273.14999999999998</v>
      </c>
      <c r="H48" s="45">
        <f t="shared" si="4"/>
        <v>273.14999999999998</v>
      </c>
      <c r="I48" s="45">
        <f t="shared" si="4"/>
        <v>273.14999999999998</v>
      </c>
      <c r="J48" s="46">
        <f t="shared" si="4"/>
        <v>273.14999999999998</v>
      </c>
      <c r="K48" s="44">
        <f t="shared" si="4"/>
        <v>273.14999999999998</v>
      </c>
      <c r="L48" s="45">
        <f t="shared" si="4"/>
        <v>273.14999999999998</v>
      </c>
      <c r="M48" s="45">
        <f t="shared" si="4"/>
        <v>273.14999999999998</v>
      </c>
      <c r="N48" s="45">
        <f t="shared" si="4"/>
        <v>273.14999999999998</v>
      </c>
      <c r="O48" s="45">
        <f t="shared" si="4"/>
        <v>273.14999999999998</v>
      </c>
      <c r="P48" s="45">
        <f t="shared" si="4"/>
        <v>273.14999999999998</v>
      </c>
      <c r="Q48" s="45">
        <f t="shared" si="4"/>
        <v>273.14999999999998</v>
      </c>
      <c r="R48" s="46">
        <f t="shared" si="4"/>
        <v>273.14999999999998</v>
      </c>
    </row>
    <row r="49" spans="1:18">
      <c r="A49" s="54"/>
      <c r="B49" s="62" t="s">
        <v>37</v>
      </c>
      <c r="C49" s="48" t="e">
        <f>C12/Лаб.Журнал!$C$20/Лаб.Журнал!$C$21</f>
        <v>#DIV/0!</v>
      </c>
      <c r="D49" s="48" t="e">
        <f>D12/Лаб.Журнал!$C$20/Лаб.Журнал!$C$21</f>
        <v>#DIV/0!</v>
      </c>
      <c r="E49" s="48" t="e">
        <f>E12/Лаб.Журнал!$C$20/Лаб.Журнал!$C$21</f>
        <v>#DIV/0!</v>
      </c>
      <c r="F49" s="48" t="e">
        <f>F12/Лаб.Журнал!$C$20/Лаб.Журнал!$C$21</f>
        <v>#DIV/0!</v>
      </c>
      <c r="G49" s="48" t="e">
        <f>G12/Лаб.Журнал!$C$20/Лаб.Журнал!$C$21</f>
        <v>#DIV/0!</v>
      </c>
      <c r="H49" s="48" t="e">
        <f>H12/Лаб.Журнал!$C$20/Лаб.Журнал!$C$21</f>
        <v>#DIV/0!</v>
      </c>
      <c r="I49" s="48" t="e">
        <f>I12/Лаб.Журнал!$C$20/Лаб.Журнал!$C$21</f>
        <v>#DIV/0!</v>
      </c>
      <c r="J49" s="49" t="e">
        <f>J12/Лаб.Журнал!$C$20/Лаб.Журнал!$C$21</f>
        <v>#DIV/0!</v>
      </c>
      <c r="K49" s="47" t="e">
        <f>K12/Лаб.Журнал!$C$20/Лаб.Журнал!$C$21</f>
        <v>#DIV/0!</v>
      </c>
      <c r="L49" s="48" t="e">
        <f>L12/Лаб.Журнал!$C$20/Лаб.Журнал!$C$21</f>
        <v>#DIV/0!</v>
      </c>
      <c r="M49" s="48" t="e">
        <f>M12/Лаб.Журнал!$C$20/Лаб.Журнал!$C$21</f>
        <v>#DIV/0!</v>
      </c>
      <c r="N49" s="48" t="e">
        <f>N12/Лаб.Журнал!$C$20/Лаб.Журнал!$C$21</f>
        <v>#DIV/0!</v>
      </c>
      <c r="O49" s="48" t="e">
        <f>O12/Лаб.Журнал!$C$20/Лаб.Журнал!$C$21</f>
        <v>#DIV/0!</v>
      </c>
      <c r="P49" s="48" t="e">
        <f>P12/Лаб.Журнал!$C$20/Лаб.Журнал!$C$21</f>
        <v>#DIV/0!</v>
      </c>
      <c r="Q49" s="48" t="e">
        <f>Q12/Лаб.Журнал!$C$20/Лаб.Журнал!$C$21</f>
        <v>#DIV/0!</v>
      </c>
      <c r="R49" s="49" t="e">
        <f>R12/Лаб.Журнал!$C$20/Лаб.Журнал!$C$21</f>
        <v>#DIV/0!</v>
      </c>
    </row>
    <row r="76" spans="1:34">
      <c r="A76" s="16">
        <v>3</v>
      </c>
      <c r="B76" s="42" t="s">
        <v>46</v>
      </c>
      <c r="C76" s="52"/>
      <c r="D76" s="52"/>
      <c r="E76" s="52"/>
      <c r="F76" s="52"/>
      <c r="G76" s="52"/>
      <c r="H76" s="52"/>
    </row>
    <row r="78" spans="1:34">
      <c r="B78" s="22" t="str">
        <f t="shared" ref="B78:R78" si="5">B43</f>
        <v>T, K</v>
      </c>
      <c r="C78" s="44">
        <f t="shared" si="5"/>
        <v>273.14999999999998</v>
      </c>
      <c r="D78" s="45">
        <f t="shared" si="5"/>
        <v>273.14999999999998</v>
      </c>
      <c r="E78" s="45">
        <f t="shared" si="5"/>
        <v>273.14999999999998</v>
      </c>
      <c r="F78" s="45">
        <f t="shared" si="5"/>
        <v>273.14999999999998</v>
      </c>
      <c r="G78" s="45">
        <f t="shared" si="5"/>
        <v>273.14999999999998</v>
      </c>
      <c r="H78" s="45">
        <f t="shared" si="5"/>
        <v>273.14999999999998</v>
      </c>
      <c r="I78" s="45">
        <f t="shared" si="5"/>
        <v>273.14999999999998</v>
      </c>
      <c r="J78" s="46">
        <f t="shared" si="5"/>
        <v>273.14999999999998</v>
      </c>
      <c r="K78" s="44">
        <f t="shared" si="5"/>
        <v>273.14999999999998</v>
      </c>
      <c r="L78" s="45">
        <f t="shared" si="5"/>
        <v>273.14999999999998</v>
      </c>
      <c r="M78" s="45">
        <f t="shared" si="5"/>
        <v>273.14999999999998</v>
      </c>
      <c r="N78" s="45">
        <f t="shared" si="5"/>
        <v>273.14999999999998</v>
      </c>
      <c r="O78" s="45">
        <f t="shared" si="5"/>
        <v>273.14999999999998</v>
      </c>
      <c r="P78" s="45">
        <f t="shared" si="5"/>
        <v>273.14999999999998</v>
      </c>
      <c r="Q78" s="45">
        <f t="shared" si="5"/>
        <v>273.14999999999998</v>
      </c>
      <c r="R78" s="46">
        <f t="shared" si="5"/>
        <v>273.14999999999998</v>
      </c>
      <c r="S78" s="44">
        <f t="shared" ref="S78:AH78" si="6">C48</f>
        <v>273.14999999999998</v>
      </c>
      <c r="T78" s="45">
        <f t="shared" si="6"/>
        <v>273.14999999999998</v>
      </c>
      <c r="U78" s="45">
        <f t="shared" si="6"/>
        <v>273.14999999999998</v>
      </c>
      <c r="V78" s="45">
        <f t="shared" si="6"/>
        <v>273.14999999999998</v>
      </c>
      <c r="W78" s="45">
        <f t="shared" si="6"/>
        <v>273.14999999999998</v>
      </c>
      <c r="X78" s="45">
        <f t="shared" si="6"/>
        <v>273.14999999999998</v>
      </c>
      <c r="Y78" s="45">
        <f t="shared" si="6"/>
        <v>273.14999999999998</v>
      </c>
      <c r="Z78" s="46">
        <f t="shared" si="6"/>
        <v>273.14999999999998</v>
      </c>
      <c r="AA78" s="44">
        <f t="shared" si="6"/>
        <v>273.14999999999998</v>
      </c>
      <c r="AB78" s="45">
        <f t="shared" si="6"/>
        <v>273.14999999999998</v>
      </c>
      <c r="AC78" s="45">
        <f t="shared" si="6"/>
        <v>273.14999999999998</v>
      </c>
      <c r="AD78" s="45">
        <f t="shared" si="6"/>
        <v>273.14999999999998</v>
      </c>
      <c r="AE78" s="45">
        <f t="shared" si="6"/>
        <v>273.14999999999998</v>
      </c>
      <c r="AF78" s="45">
        <f t="shared" si="6"/>
        <v>273.14999999999998</v>
      </c>
      <c r="AG78" s="45">
        <f t="shared" si="6"/>
        <v>273.14999999999998</v>
      </c>
      <c r="AH78" s="46">
        <f t="shared" si="6"/>
        <v>273.14999999999998</v>
      </c>
    </row>
    <row r="79" spans="1:34">
      <c r="B79" s="22" t="s">
        <v>41</v>
      </c>
      <c r="C79" s="73">
        <f>C78*Лаб.Журнал!$E$22*Лаб.Журнал!$E$20/100</f>
        <v>0</v>
      </c>
      <c r="D79" s="15">
        <f>D78*Лаб.Журнал!$E$22*Лаб.Журнал!$E$20/100</f>
        <v>0</v>
      </c>
      <c r="E79" s="15">
        <f>E78*Лаб.Журнал!$E$22*Лаб.Журнал!$E$20/100</f>
        <v>0</v>
      </c>
      <c r="F79" s="15">
        <f>F78*Лаб.Журнал!$E$22*Лаб.Журнал!$E$20/100</f>
        <v>0</v>
      </c>
      <c r="G79" s="15">
        <f>G78*Лаб.Журнал!$E$22*Лаб.Журнал!$E$20/100</f>
        <v>0</v>
      </c>
      <c r="H79" s="15">
        <f>H78*Лаб.Журнал!$E$22*Лаб.Журнал!$E$20/100</f>
        <v>0</v>
      </c>
      <c r="I79" s="15">
        <f>I78*Лаб.Журнал!$E$22*Лаб.Журнал!$E$20/100</f>
        <v>0</v>
      </c>
      <c r="J79" s="15">
        <f>J78*Лаб.Журнал!$E$22*Лаб.Журнал!$E$20/100</f>
        <v>0</v>
      </c>
      <c r="K79" s="15">
        <f>K78*Лаб.Журнал!$E$22*Лаб.Журнал!$E$20/100</f>
        <v>0</v>
      </c>
      <c r="L79" s="15">
        <f>L78*Лаб.Журнал!$E$22*Лаб.Журнал!$E$20/100</f>
        <v>0</v>
      </c>
      <c r="M79" s="15">
        <f>M78*Лаб.Журнал!$E$22*Лаб.Журнал!$E$20/100</f>
        <v>0</v>
      </c>
      <c r="N79" s="15">
        <f>N78*Лаб.Журнал!$E$22*Лаб.Журнал!$E$20/100</f>
        <v>0</v>
      </c>
      <c r="O79" s="15">
        <f>O78*Лаб.Журнал!$E$22*Лаб.Журнал!$E$20/100</f>
        <v>0</v>
      </c>
      <c r="P79" s="15">
        <f>P78*Лаб.Журнал!$E$22*Лаб.Журнал!$E$20/100</f>
        <v>0</v>
      </c>
      <c r="Q79" s="15">
        <f>Q78*Лаб.Журнал!$E$22*Лаб.Журнал!$E$20/100</f>
        <v>0</v>
      </c>
      <c r="R79" s="15">
        <f>R78*Лаб.Журнал!$E$22*Лаб.Журнал!$E$20/100</f>
        <v>0</v>
      </c>
      <c r="S79" s="15">
        <f>S78*Лаб.Журнал!$E$22*Лаб.Журнал!$E$20/100</f>
        <v>0</v>
      </c>
      <c r="T79" s="15">
        <f>T78*Лаб.Журнал!$E$22*Лаб.Журнал!$E$20/100</f>
        <v>0</v>
      </c>
      <c r="U79" s="15">
        <f>U78*Лаб.Журнал!$E$22*Лаб.Журнал!$E$20/100</f>
        <v>0</v>
      </c>
      <c r="V79" s="15">
        <f>V78*Лаб.Журнал!$E$22*Лаб.Журнал!$E$20/100</f>
        <v>0</v>
      </c>
      <c r="W79" s="15">
        <f>W78*Лаб.Журнал!$E$22*Лаб.Журнал!$E$20/100</f>
        <v>0</v>
      </c>
      <c r="X79" s="15">
        <f>X78*Лаб.Журнал!$E$22*Лаб.Журнал!$E$20/100</f>
        <v>0</v>
      </c>
      <c r="Y79" s="15">
        <f>Y78*Лаб.Журнал!$E$22*Лаб.Журнал!$E$20/100</f>
        <v>0</v>
      </c>
      <c r="Z79" s="15">
        <f>Z78*Лаб.Журнал!$E$22*Лаб.Журнал!$E$20/100</f>
        <v>0</v>
      </c>
      <c r="AA79" s="15">
        <f>AA78*Лаб.Журнал!$E$22*Лаб.Журнал!$E$20/100</f>
        <v>0</v>
      </c>
      <c r="AB79" s="15">
        <f>AB78*Лаб.Журнал!$E$22*Лаб.Журнал!$E$20/100</f>
        <v>0</v>
      </c>
      <c r="AC79" s="15">
        <f>AC78*Лаб.Журнал!$E$22*Лаб.Журнал!$E$20/100</f>
        <v>0</v>
      </c>
      <c r="AD79" s="15">
        <f>AD78*Лаб.Журнал!$E$22*Лаб.Журнал!$E$20/100</f>
        <v>0</v>
      </c>
      <c r="AE79" s="15">
        <f>AE78*Лаб.Журнал!$E$22*Лаб.Журнал!$E$20/100</f>
        <v>0</v>
      </c>
      <c r="AF79" s="15">
        <f>AF78*Лаб.Журнал!$E$22*Лаб.Журнал!$E$20/100</f>
        <v>0</v>
      </c>
      <c r="AG79" s="15">
        <f>AG78*Лаб.Журнал!$E$22*Лаб.Журнал!$E$20/100</f>
        <v>0</v>
      </c>
      <c r="AH79" s="74">
        <f>AH78*Лаб.Журнал!$E$22*Лаб.Журнал!$E$20/100</f>
        <v>0</v>
      </c>
    </row>
    <row r="80" spans="1:34">
      <c r="B80" s="22" t="s">
        <v>43</v>
      </c>
      <c r="C80" s="57" t="e">
        <f>C78*Лаб.Журнал!$E$22*Отчет!C44/100</f>
        <v>#DIV/0!</v>
      </c>
      <c r="D80" s="13" t="e">
        <f>D78*Лаб.Журнал!$E$22*Отчет!D44/100</f>
        <v>#DIV/0!</v>
      </c>
      <c r="E80" s="13" t="e">
        <f>E78*Лаб.Журнал!$E$22*Отчет!E44/100</f>
        <v>#DIV/0!</v>
      </c>
      <c r="F80" s="13" t="e">
        <f>F78*Лаб.Журнал!$E$22*Отчет!F44/100</f>
        <v>#DIV/0!</v>
      </c>
      <c r="G80" s="13" t="e">
        <f>G78*Лаб.Журнал!$E$22*Отчет!G44/100</f>
        <v>#DIV/0!</v>
      </c>
      <c r="H80" s="13" t="e">
        <f>H78*Лаб.Журнал!$E$22*Отчет!H44/100</f>
        <v>#DIV/0!</v>
      </c>
      <c r="I80" s="13" t="e">
        <f>I78*Лаб.Журнал!$E$22*Отчет!I44/100</f>
        <v>#DIV/0!</v>
      </c>
      <c r="J80" s="13" t="e">
        <f>J78*Лаб.Журнал!$E$22*Отчет!J44/100</f>
        <v>#DIV/0!</v>
      </c>
      <c r="K80" s="13" t="e">
        <f>K78*Лаб.Журнал!$E$22*Отчет!K44/100</f>
        <v>#DIV/0!</v>
      </c>
      <c r="L80" s="13" t="e">
        <f>L78*Лаб.Журнал!$E$22*Отчет!L44/100</f>
        <v>#DIV/0!</v>
      </c>
      <c r="M80" s="13" t="e">
        <f>M78*Лаб.Журнал!$E$22*Отчет!M44/100</f>
        <v>#DIV/0!</v>
      </c>
      <c r="N80" s="13" t="e">
        <f>N78*Лаб.Журнал!$E$22*Отчет!N44/100</f>
        <v>#DIV/0!</v>
      </c>
      <c r="O80" s="13" t="e">
        <f>O78*Лаб.Журнал!$E$22*Отчет!O44/100</f>
        <v>#DIV/0!</v>
      </c>
      <c r="P80" s="13" t="e">
        <f>P78*Лаб.Журнал!$E$22*Отчет!P44/100</f>
        <v>#DIV/0!</v>
      </c>
      <c r="Q80" s="13" t="e">
        <f>Q78*Лаб.Журнал!$E$22*Отчет!Q44/100</f>
        <v>#DIV/0!</v>
      </c>
      <c r="R80" s="13" t="e">
        <f>R78*Лаб.Журнал!$E$22*Отчет!R44/100</f>
        <v>#DIV/0!</v>
      </c>
      <c r="S80" s="13" t="e">
        <f>S78*Лаб.Журнал!$E$22*Отчет!C49/100</f>
        <v>#DIV/0!</v>
      </c>
      <c r="T80" s="13" t="e">
        <f>T78*Лаб.Журнал!$E$22*Отчет!D49/100</f>
        <v>#DIV/0!</v>
      </c>
      <c r="U80" s="13" t="e">
        <f>U78*Лаб.Журнал!$E$22*Отчет!E49/100</f>
        <v>#DIV/0!</v>
      </c>
      <c r="V80" s="13" t="e">
        <f>V78*Лаб.Журнал!$E$22*Отчет!F49/100</f>
        <v>#DIV/0!</v>
      </c>
      <c r="W80" s="13" t="e">
        <f>W78*Лаб.Журнал!$E$22*Отчет!G49/100</f>
        <v>#DIV/0!</v>
      </c>
      <c r="X80" s="13" t="e">
        <f>X78*Лаб.Журнал!$E$22*Отчет!H49/100</f>
        <v>#DIV/0!</v>
      </c>
      <c r="Y80" s="13" t="e">
        <f>Y78*Лаб.Журнал!$E$22*Отчет!I49/100</f>
        <v>#DIV/0!</v>
      </c>
      <c r="Z80" s="13" t="e">
        <f>Z78*Лаб.Журнал!$E$22*Отчет!J49/100</f>
        <v>#DIV/0!</v>
      </c>
      <c r="AA80" s="13" t="e">
        <f>AA78*Лаб.Журнал!$E$22*Отчет!K49/100</f>
        <v>#DIV/0!</v>
      </c>
      <c r="AB80" s="13" t="e">
        <f>AB78*Лаб.Журнал!$E$22*Отчет!L49/100</f>
        <v>#DIV/0!</v>
      </c>
      <c r="AC80" s="13" t="e">
        <f>AC78*Лаб.Журнал!$E$22*Отчет!M49/100</f>
        <v>#DIV/0!</v>
      </c>
      <c r="AD80" s="13" t="e">
        <f>AD78*Лаб.Журнал!$E$22*Отчет!N49/100</f>
        <v>#DIV/0!</v>
      </c>
      <c r="AE80" s="13" t="e">
        <f>AE78*Лаб.Журнал!$E$22*Отчет!O49/100</f>
        <v>#DIV/0!</v>
      </c>
      <c r="AF80" s="13" t="e">
        <f>AF78*Лаб.Журнал!$E$22*Отчет!P49/100</f>
        <v>#DIV/0!</v>
      </c>
      <c r="AG80" s="13" t="e">
        <f>AG78*Лаб.Журнал!$E$22*Отчет!Q49/100</f>
        <v>#DIV/0!</v>
      </c>
      <c r="AH80" s="55" t="e">
        <f>AH78*Лаб.Журнал!$E$22*Отчет!R49/100</f>
        <v>#DIV/0!</v>
      </c>
    </row>
    <row r="81" spans="2:34">
      <c r="B81" s="43" t="s">
        <v>44</v>
      </c>
      <c r="C81" s="47" t="e">
        <f>C80/C79</f>
        <v>#DIV/0!</v>
      </c>
      <c r="D81" s="48" t="e">
        <f t="shared" ref="D81:AH81" si="7">D80/D79</f>
        <v>#DIV/0!</v>
      </c>
      <c r="E81" s="48" t="e">
        <f t="shared" si="7"/>
        <v>#DIV/0!</v>
      </c>
      <c r="F81" s="48" t="e">
        <f t="shared" si="7"/>
        <v>#DIV/0!</v>
      </c>
      <c r="G81" s="48" t="e">
        <f t="shared" si="7"/>
        <v>#DIV/0!</v>
      </c>
      <c r="H81" s="48" t="e">
        <f t="shared" si="7"/>
        <v>#DIV/0!</v>
      </c>
      <c r="I81" s="48" t="e">
        <f t="shared" si="7"/>
        <v>#DIV/0!</v>
      </c>
      <c r="J81" s="48" t="e">
        <f t="shared" si="7"/>
        <v>#DIV/0!</v>
      </c>
      <c r="K81" s="48" t="e">
        <f t="shared" si="7"/>
        <v>#DIV/0!</v>
      </c>
      <c r="L81" s="48" t="e">
        <f t="shared" si="7"/>
        <v>#DIV/0!</v>
      </c>
      <c r="M81" s="48" t="e">
        <f t="shared" si="7"/>
        <v>#DIV/0!</v>
      </c>
      <c r="N81" s="48" t="e">
        <f t="shared" si="7"/>
        <v>#DIV/0!</v>
      </c>
      <c r="O81" s="48" t="e">
        <f t="shared" si="7"/>
        <v>#DIV/0!</v>
      </c>
      <c r="P81" s="48" t="e">
        <f t="shared" si="7"/>
        <v>#DIV/0!</v>
      </c>
      <c r="Q81" s="48" t="e">
        <f t="shared" si="7"/>
        <v>#DIV/0!</v>
      </c>
      <c r="R81" s="48" t="e">
        <f t="shared" si="7"/>
        <v>#DIV/0!</v>
      </c>
      <c r="S81" s="48" t="e">
        <f t="shared" si="7"/>
        <v>#DIV/0!</v>
      </c>
      <c r="T81" s="48" t="e">
        <f t="shared" si="7"/>
        <v>#DIV/0!</v>
      </c>
      <c r="U81" s="48" t="e">
        <f t="shared" si="7"/>
        <v>#DIV/0!</v>
      </c>
      <c r="V81" s="48" t="e">
        <f t="shared" si="7"/>
        <v>#DIV/0!</v>
      </c>
      <c r="W81" s="48" t="e">
        <f t="shared" si="7"/>
        <v>#DIV/0!</v>
      </c>
      <c r="X81" s="48" t="e">
        <f t="shared" si="7"/>
        <v>#DIV/0!</v>
      </c>
      <c r="Y81" s="48" t="e">
        <f t="shared" si="7"/>
        <v>#DIV/0!</v>
      </c>
      <c r="Z81" s="48" t="e">
        <f t="shared" si="7"/>
        <v>#DIV/0!</v>
      </c>
      <c r="AA81" s="48" t="e">
        <f t="shared" si="7"/>
        <v>#DIV/0!</v>
      </c>
      <c r="AB81" s="48" t="e">
        <f t="shared" si="7"/>
        <v>#DIV/0!</v>
      </c>
      <c r="AC81" s="48" t="e">
        <f t="shared" si="7"/>
        <v>#DIV/0!</v>
      </c>
      <c r="AD81" s="48" t="e">
        <f t="shared" si="7"/>
        <v>#DIV/0!</v>
      </c>
      <c r="AE81" s="48" t="e">
        <f t="shared" si="7"/>
        <v>#DIV/0!</v>
      </c>
      <c r="AF81" s="48" t="e">
        <f t="shared" si="7"/>
        <v>#DIV/0!</v>
      </c>
      <c r="AG81" s="48" t="e">
        <f t="shared" si="7"/>
        <v>#DIV/0!</v>
      </c>
      <c r="AH81" s="49" t="e">
        <f t="shared" si="7"/>
        <v>#DIV/0!</v>
      </c>
    </row>
    <row r="107" spans="1:34">
      <c r="A107" s="16">
        <v>4</v>
      </c>
      <c r="B107" s="42" t="s">
        <v>45</v>
      </c>
      <c r="C107" s="52"/>
      <c r="D107" s="52"/>
      <c r="E107" s="52"/>
      <c r="F107" s="52"/>
      <c r="G107" s="52"/>
      <c r="H107" s="52"/>
      <c r="I107" s="52"/>
    </row>
    <row r="109" spans="1:34">
      <c r="B109" s="22" t="str">
        <f t="shared" ref="B109:AH109" si="8">B78</f>
        <v>T, K</v>
      </c>
      <c r="C109" s="44">
        <f t="shared" si="8"/>
        <v>273.14999999999998</v>
      </c>
      <c r="D109" s="45">
        <f t="shared" si="8"/>
        <v>273.14999999999998</v>
      </c>
      <c r="E109" s="45">
        <f t="shared" si="8"/>
        <v>273.14999999999998</v>
      </c>
      <c r="F109" s="45">
        <f t="shared" si="8"/>
        <v>273.14999999999998</v>
      </c>
      <c r="G109" s="45">
        <f t="shared" si="8"/>
        <v>273.14999999999998</v>
      </c>
      <c r="H109" s="45">
        <f t="shared" si="8"/>
        <v>273.14999999999998</v>
      </c>
      <c r="I109" s="45">
        <f t="shared" si="8"/>
        <v>273.14999999999998</v>
      </c>
      <c r="J109" s="45">
        <f t="shared" si="8"/>
        <v>273.14999999999998</v>
      </c>
      <c r="K109" s="45">
        <f t="shared" si="8"/>
        <v>273.14999999999998</v>
      </c>
      <c r="L109" s="45">
        <f t="shared" si="8"/>
        <v>273.14999999999998</v>
      </c>
      <c r="M109" s="45">
        <f t="shared" si="8"/>
        <v>273.14999999999998</v>
      </c>
      <c r="N109" s="45">
        <f t="shared" si="8"/>
        <v>273.14999999999998</v>
      </c>
      <c r="O109" s="45">
        <f t="shared" si="8"/>
        <v>273.14999999999998</v>
      </c>
      <c r="P109" s="45">
        <f t="shared" si="8"/>
        <v>273.14999999999998</v>
      </c>
      <c r="Q109" s="45">
        <f t="shared" si="8"/>
        <v>273.14999999999998</v>
      </c>
      <c r="R109" s="45">
        <f t="shared" si="8"/>
        <v>273.14999999999998</v>
      </c>
      <c r="S109" s="45">
        <f t="shared" si="8"/>
        <v>273.14999999999998</v>
      </c>
      <c r="T109" s="45">
        <f t="shared" si="8"/>
        <v>273.14999999999998</v>
      </c>
      <c r="U109" s="45">
        <f t="shared" si="8"/>
        <v>273.14999999999998</v>
      </c>
      <c r="V109" s="45">
        <f t="shared" si="8"/>
        <v>273.14999999999998</v>
      </c>
      <c r="W109" s="45">
        <f t="shared" si="8"/>
        <v>273.14999999999998</v>
      </c>
      <c r="X109" s="45">
        <f t="shared" si="8"/>
        <v>273.14999999999998</v>
      </c>
      <c r="Y109" s="45">
        <f t="shared" si="8"/>
        <v>273.14999999999998</v>
      </c>
      <c r="Z109" s="45">
        <f t="shared" si="8"/>
        <v>273.14999999999998</v>
      </c>
      <c r="AA109" s="45">
        <f t="shared" si="8"/>
        <v>273.14999999999998</v>
      </c>
      <c r="AB109" s="45">
        <f t="shared" si="8"/>
        <v>273.14999999999998</v>
      </c>
      <c r="AC109" s="45">
        <f t="shared" si="8"/>
        <v>273.14999999999998</v>
      </c>
      <c r="AD109" s="45">
        <f t="shared" si="8"/>
        <v>273.14999999999998</v>
      </c>
      <c r="AE109" s="45">
        <f t="shared" si="8"/>
        <v>273.14999999999998</v>
      </c>
      <c r="AF109" s="45">
        <f t="shared" si="8"/>
        <v>273.14999999999998</v>
      </c>
      <c r="AG109" s="45">
        <f t="shared" si="8"/>
        <v>273.14999999999998</v>
      </c>
      <c r="AH109" s="46">
        <f t="shared" si="8"/>
        <v>273.14999999999998</v>
      </c>
    </row>
    <row r="110" spans="1:34">
      <c r="B110" s="22" t="s">
        <v>47</v>
      </c>
      <c r="C110" s="47" t="e">
        <f>2*C81*C81*C79/(1-C81)</f>
        <v>#DIV/0!</v>
      </c>
      <c r="D110" s="48" t="e">
        <f t="shared" ref="D110:AH110" si="9">2*D81*D81*D79/(1-D81)</f>
        <v>#DIV/0!</v>
      </c>
      <c r="E110" s="48" t="e">
        <f t="shared" si="9"/>
        <v>#DIV/0!</v>
      </c>
      <c r="F110" s="48" t="e">
        <f t="shared" si="9"/>
        <v>#DIV/0!</v>
      </c>
      <c r="G110" s="48" t="e">
        <f t="shared" si="9"/>
        <v>#DIV/0!</v>
      </c>
      <c r="H110" s="48" t="e">
        <f t="shared" si="9"/>
        <v>#DIV/0!</v>
      </c>
      <c r="I110" s="48" t="e">
        <f t="shared" si="9"/>
        <v>#DIV/0!</v>
      </c>
      <c r="J110" s="48" t="e">
        <f t="shared" si="9"/>
        <v>#DIV/0!</v>
      </c>
      <c r="K110" s="48" t="e">
        <f t="shared" si="9"/>
        <v>#DIV/0!</v>
      </c>
      <c r="L110" s="48" t="e">
        <f t="shared" si="9"/>
        <v>#DIV/0!</v>
      </c>
      <c r="M110" s="48" t="e">
        <f t="shared" si="9"/>
        <v>#DIV/0!</v>
      </c>
      <c r="N110" s="48" t="e">
        <f t="shared" si="9"/>
        <v>#DIV/0!</v>
      </c>
      <c r="O110" s="48" t="e">
        <f t="shared" si="9"/>
        <v>#DIV/0!</v>
      </c>
      <c r="P110" s="48" t="e">
        <f t="shared" si="9"/>
        <v>#DIV/0!</v>
      </c>
      <c r="Q110" s="48" t="e">
        <f t="shared" si="9"/>
        <v>#DIV/0!</v>
      </c>
      <c r="R110" s="48" t="e">
        <f t="shared" si="9"/>
        <v>#DIV/0!</v>
      </c>
      <c r="S110" s="48" t="e">
        <f t="shared" si="9"/>
        <v>#DIV/0!</v>
      </c>
      <c r="T110" s="48" t="e">
        <f t="shared" si="9"/>
        <v>#DIV/0!</v>
      </c>
      <c r="U110" s="48" t="e">
        <f t="shared" si="9"/>
        <v>#DIV/0!</v>
      </c>
      <c r="V110" s="48" t="e">
        <f t="shared" si="9"/>
        <v>#DIV/0!</v>
      </c>
      <c r="W110" s="48" t="e">
        <f t="shared" si="9"/>
        <v>#DIV/0!</v>
      </c>
      <c r="X110" s="48" t="e">
        <f t="shared" si="9"/>
        <v>#DIV/0!</v>
      </c>
      <c r="Y110" s="48" t="e">
        <f t="shared" si="9"/>
        <v>#DIV/0!</v>
      </c>
      <c r="Z110" s="48" t="e">
        <f t="shared" si="9"/>
        <v>#DIV/0!</v>
      </c>
      <c r="AA110" s="48" t="e">
        <f t="shared" si="9"/>
        <v>#DIV/0!</v>
      </c>
      <c r="AB110" s="48" t="e">
        <f t="shared" si="9"/>
        <v>#DIV/0!</v>
      </c>
      <c r="AC110" s="48" t="e">
        <f t="shared" si="9"/>
        <v>#DIV/0!</v>
      </c>
      <c r="AD110" s="48" t="e">
        <f t="shared" si="9"/>
        <v>#DIV/0!</v>
      </c>
      <c r="AE110" s="48" t="e">
        <f t="shared" si="9"/>
        <v>#DIV/0!</v>
      </c>
      <c r="AF110" s="48" t="e">
        <f t="shared" si="9"/>
        <v>#DIV/0!</v>
      </c>
      <c r="AG110" s="48" t="e">
        <f t="shared" si="9"/>
        <v>#DIV/0!</v>
      </c>
      <c r="AH110" s="49" t="e">
        <f t="shared" si="9"/>
        <v>#DIV/0!</v>
      </c>
    </row>
    <row r="138" spans="1:34">
      <c r="A138" s="16">
        <v>5</v>
      </c>
      <c r="B138" s="42" t="s">
        <v>48</v>
      </c>
      <c r="C138" s="52"/>
      <c r="D138" s="52"/>
      <c r="E138" s="52"/>
      <c r="F138" s="52"/>
      <c r="G138" s="52"/>
      <c r="H138" s="52"/>
      <c r="I138" s="52"/>
    </row>
    <row r="140" spans="1:34">
      <c r="B140" s="22" t="s">
        <v>49</v>
      </c>
      <c r="C140" s="44">
        <f>1/C109</f>
        <v>3.6609921288669233E-3</v>
      </c>
      <c r="D140" s="45">
        <f t="shared" ref="D140:AB140" si="10">1/D109</f>
        <v>3.6609921288669233E-3</v>
      </c>
      <c r="E140" s="45">
        <f t="shared" si="10"/>
        <v>3.6609921288669233E-3</v>
      </c>
      <c r="F140" s="45">
        <f t="shared" si="10"/>
        <v>3.6609921288669233E-3</v>
      </c>
      <c r="G140" s="45">
        <f t="shared" si="10"/>
        <v>3.6609921288669233E-3</v>
      </c>
      <c r="H140" s="45">
        <f t="shared" si="10"/>
        <v>3.6609921288669233E-3</v>
      </c>
      <c r="I140" s="45">
        <f t="shared" si="10"/>
        <v>3.6609921288669233E-3</v>
      </c>
      <c r="J140" s="45">
        <f t="shared" si="10"/>
        <v>3.6609921288669233E-3</v>
      </c>
      <c r="K140" s="45">
        <f t="shared" si="10"/>
        <v>3.6609921288669233E-3</v>
      </c>
      <c r="L140" s="45">
        <f t="shared" si="10"/>
        <v>3.6609921288669233E-3</v>
      </c>
      <c r="M140" s="45">
        <f t="shared" si="10"/>
        <v>3.6609921288669233E-3</v>
      </c>
      <c r="N140" s="45">
        <f t="shared" si="10"/>
        <v>3.6609921288669233E-3</v>
      </c>
      <c r="O140" s="45">
        <f t="shared" si="10"/>
        <v>3.6609921288669233E-3</v>
      </c>
      <c r="P140" s="45">
        <f t="shared" si="10"/>
        <v>3.6609921288669233E-3</v>
      </c>
      <c r="Q140" s="45">
        <f t="shared" si="10"/>
        <v>3.6609921288669233E-3</v>
      </c>
      <c r="R140" s="45">
        <f t="shared" si="10"/>
        <v>3.6609921288669233E-3</v>
      </c>
      <c r="S140" s="45">
        <f t="shared" si="10"/>
        <v>3.6609921288669233E-3</v>
      </c>
      <c r="T140" s="45">
        <f t="shared" si="10"/>
        <v>3.6609921288669233E-3</v>
      </c>
      <c r="U140" s="45">
        <f t="shared" si="10"/>
        <v>3.6609921288669233E-3</v>
      </c>
      <c r="V140" s="45">
        <f t="shared" si="10"/>
        <v>3.6609921288669233E-3</v>
      </c>
      <c r="W140" s="45">
        <f t="shared" si="10"/>
        <v>3.6609921288669233E-3</v>
      </c>
      <c r="X140" s="45">
        <f t="shared" si="10"/>
        <v>3.6609921288669233E-3</v>
      </c>
      <c r="Y140" s="45">
        <f t="shared" si="10"/>
        <v>3.6609921288669233E-3</v>
      </c>
      <c r="Z140" s="45">
        <f t="shared" si="10"/>
        <v>3.6609921288669233E-3</v>
      </c>
      <c r="AA140" s="45">
        <f t="shared" si="10"/>
        <v>3.6609921288669233E-3</v>
      </c>
      <c r="AB140" s="45">
        <f t="shared" si="10"/>
        <v>3.6609921288669233E-3</v>
      </c>
      <c r="AC140" s="45">
        <f t="shared" ref="AC140:AI140" si="11">1/AC109</f>
        <v>3.6609921288669233E-3</v>
      </c>
      <c r="AD140" s="45">
        <f t="shared" si="11"/>
        <v>3.6609921288669233E-3</v>
      </c>
      <c r="AE140" s="45">
        <f t="shared" si="11"/>
        <v>3.6609921288669233E-3</v>
      </c>
      <c r="AF140" s="45">
        <f t="shared" si="11"/>
        <v>3.6609921288669233E-3</v>
      </c>
      <c r="AG140" s="45">
        <f t="shared" si="11"/>
        <v>3.6609921288669233E-3</v>
      </c>
      <c r="AH140" s="46">
        <f t="shared" si="11"/>
        <v>3.6609921288669233E-3</v>
      </c>
    </row>
    <row r="141" spans="1:34">
      <c r="B141" s="22" t="s">
        <v>50</v>
      </c>
      <c r="C141" s="47" t="e">
        <f>LN(C110)</f>
        <v>#DIV/0!</v>
      </c>
      <c r="D141" s="48" t="e">
        <f t="shared" ref="D141:AB141" si="12">LN(D110)</f>
        <v>#DIV/0!</v>
      </c>
      <c r="E141" s="48" t="e">
        <f t="shared" si="12"/>
        <v>#DIV/0!</v>
      </c>
      <c r="F141" s="48" t="e">
        <f t="shared" si="12"/>
        <v>#DIV/0!</v>
      </c>
      <c r="G141" s="48" t="e">
        <f t="shared" si="12"/>
        <v>#DIV/0!</v>
      </c>
      <c r="H141" s="48" t="e">
        <f t="shared" si="12"/>
        <v>#DIV/0!</v>
      </c>
      <c r="I141" s="48" t="e">
        <f t="shared" si="12"/>
        <v>#DIV/0!</v>
      </c>
      <c r="J141" s="48" t="e">
        <f t="shared" si="12"/>
        <v>#DIV/0!</v>
      </c>
      <c r="K141" s="48" t="e">
        <f t="shared" si="12"/>
        <v>#DIV/0!</v>
      </c>
      <c r="L141" s="48" t="e">
        <f t="shared" si="12"/>
        <v>#DIV/0!</v>
      </c>
      <c r="M141" s="48" t="e">
        <f t="shared" si="12"/>
        <v>#DIV/0!</v>
      </c>
      <c r="N141" s="48" t="e">
        <f t="shared" si="12"/>
        <v>#DIV/0!</v>
      </c>
      <c r="O141" s="48" t="e">
        <f t="shared" si="12"/>
        <v>#DIV/0!</v>
      </c>
      <c r="P141" s="48" t="e">
        <f t="shared" si="12"/>
        <v>#DIV/0!</v>
      </c>
      <c r="Q141" s="48" t="e">
        <f t="shared" si="12"/>
        <v>#DIV/0!</v>
      </c>
      <c r="R141" s="48" t="e">
        <f t="shared" si="12"/>
        <v>#DIV/0!</v>
      </c>
      <c r="S141" s="48" t="e">
        <f t="shared" si="12"/>
        <v>#DIV/0!</v>
      </c>
      <c r="T141" s="48" t="e">
        <f t="shared" si="12"/>
        <v>#DIV/0!</v>
      </c>
      <c r="U141" s="48" t="e">
        <f t="shared" si="12"/>
        <v>#DIV/0!</v>
      </c>
      <c r="V141" s="48" t="e">
        <f t="shared" si="12"/>
        <v>#DIV/0!</v>
      </c>
      <c r="W141" s="48" t="e">
        <f t="shared" si="12"/>
        <v>#DIV/0!</v>
      </c>
      <c r="X141" s="48" t="e">
        <f t="shared" si="12"/>
        <v>#DIV/0!</v>
      </c>
      <c r="Y141" s="48" t="e">
        <f t="shared" si="12"/>
        <v>#DIV/0!</v>
      </c>
      <c r="Z141" s="48" t="e">
        <f t="shared" si="12"/>
        <v>#DIV/0!</v>
      </c>
      <c r="AA141" s="48" t="e">
        <f t="shared" si="12"/>
        <v>#DIV/0!</v>
      </c>
      <c r="AB141" s="48" t="e">
        <f t="shared" si="12"/>
        <v>#DIV/0!</v>
      </c>
      <c r="AC141" s="48" t="e">
        <f t="shared" ref="AC141:AI141" si="13">LN(AC110)</f>
        <v>#DIV/0!</v>
      </c>
      <c r="AD141" s="48" t="e">
        <f t="shared" si="13"/>
        <v>#DIV/0!</v>
      </c>
      <c r="AE141" s="48" t="e">
        <f t="shared" si="13"/>
        <v>#DIV/0!</v>
      </c>
      <c r="AF141" s="48" t="e">
        <f t="shared" si="13"/>
        <v>#DIV/0!</v>
      </c>
      <c r="AG141" s="48" t="e">
        <f t="shared" si="13"/>
        <v>#DIV/0!</v>
      </c>
      <c r="AH141" s="49" t="e">
        <f t="shared" si="13"/>
        <v>#DIV/0!</v>
      </c>
    </row>
    <row r="143" spans="1:34">
      <c r="B143" s="51" t="s">
        <v>51</v>
      </c>
      <c r="C143" s="50"/>
      <c r="D143" s="50"/>
      <c r="E143" s="50"/>
    </row>
    <row r="145" spans="1:34">
      <c r="A145" s="16">
        <v>6</v>
      </c>
      <c r="B145" s="43" t="s">
        <v>52</v>
      </c>
      <c r="C145" s="13" t="e">
        <f>МНК!$B$9*Лаб.Журнал!E22*(-1)</f>
        <v>#DIV/0!</v>
      </c>
    </row>
    <row r="146" spans="1:34">
      <c r="B146" s="43" t="s">
        <v>53</v>
      </c>
      <c r="C146" s="13" t="e">
        <f>МНК!$B$10*Лаб.Журнал!E22</f>
        <v>#DIV/0!</v>
      </c>
    </row>
    <row r="148" spans="1:34">
      <c r="A148" s="16">
        <v>7</v>
      </c>
      <c r="B148" s="42" t="s">
        <v>107</v>
      </c>
      <c r="C148" s="52"/>
      <c r="D148" s="52"/>
      <c r="E148" s="52"/>
      <c r="F148" s="52"/>
      <c r="G148" s="52"/>
      <c r="H148" s="52"/>
    </row>
    <row r="150" spans="1:34">
      <c r="B150" s="22" t="str">
        <f>$B$109</f>
        <v>T, K</v>
      </c>
      <c r="C150" s="44">
        <f t="shared" ref="C150:AH150" si="14">C78</f>
        <v>273.14999999999998</v>
      </c>
      <c r="D150" s="45">
        <f t="shared" si="14"/>
        <v>273.14999999999998</v>
      </c>
      <c r="E150" s="45">
        <f t="shared" si="14"/>
        <v>273.14999999999998</v>
      </c>
      <c r="F150" s="45">
        <f t="shared" si="14"/>
        <v>273.14999999999998</v>
      </c>
      <c r="G150" s="45">
        <f t="shared" si="14"/>
        <v>273.14999999999998</v>
      </c>
      <c r="H150" s="45">
        <f t="shared" si="14"/>
        <v>273.14999999999998</v>
      </c>
      <c r="I150" s="45">
        <f t="shared" si="14"/>
        <v>273.14999999999998</v>
      </c>
      <c r="J150" s="45">
        <f t="shared" si="14"/>
        <v>273.14999999999998</v>
      </c>
      <c r="K150" s="45">
        <f t="shared" si="14"/>
        <v>273.14999999999998</v>
      </c>
      <c r="L150" s="45">
        <f t="shared" si="14"/>
        <v>273.14999999999998</v>
      </c>
      <c r="M150" s="45">
        <f t="shared" si="14"/>
        <v>273.14999999999998</v>
      </c>
      <c r="N150" s="45">
        <f t="shared" si="14"/>
        <v>273.14999999999998</v>
      </c>
      <c r="O150" s="45">
        <f t="shared" si="14"/>
        <v>273.14999999999998</v>
      </c>
      <c r="P150" s="45">
        <f t="shared" si="14"/>
        <v>273.14999999999998</v>
      </c>
      <c r="Q150" s="45">
        <f t="shared" si="14"/>
        <v>273.14999999999998</v>
      </c>
      <c r="R150" s="45">
        <f t="shared" si="14"/>
        <v>273.14999999999998</v>
      </c>
      <c r="S150" s="45">
        <f t="shared" si="14"/>
        <v>273.14999999999998</v>
      </c>
      <c r="T150" s="45">
        <f t="shared" si="14"/>
        <v>273.14999999999998</v>
      </c>
      <c r="U150" s="45">
        <f t="shared" si="14"/>
        <v>273.14999999999998</v>
      </c>
      <c r="V150" s="45">
        <f t="shared" si="14"/>
        <v>273.14999999999998</v>
      </c>
      <c r="W150" s="45">
        <f t="shared" si="14"/>
        <v>273.14999999999998</v>
      </c>
      <c r="X150" s="45">
        <f t="shared" si="14"/>
        <v>273.14999999999998</v>
      </c>
      <c r="Y150" s="45">
        <f t="shared" si="14"/>
        <v>273.14999999999998</v>
      </c>
      <c r="Z150" s="45">
        <f t="shared" si="14"/>
        <v>273.14999999999998</v>
      </c>
      <c r="AA150" s="45">
        <f t="shared" si="14"/>
        <v>273.14999999999998</v>
      </c>
      <c r="AB150" s="45">
        <f t="shared" si="14"/>
        <v>273.14999999999998</v>
      </c>
      <c r="AC150" s="45">
        <f t="shared" si="14"/>
        <v>273.14999999999998</v>
      </c>
      <c r="AD150" s="45">
        <f t="shared" si="14"/>
        <v>273.14999999999998</v>
      </c>
      <c r="AE150" s="45">
        <f t="shared" si="14"/>
        <v>273.14999999999998</v>
      </c>
      <c r="AF150" s="45">
        <f t="shared" si="14"/>
        <v>273.14999999999998</v>
      </c>
      <c r="AG150" s="45">
        <f t="shared" si="14"/>
        <v>273.14999999999998</v>
      </c>
      <c r="AH150" s="46">
        <f t="shared" si="14"/>
        <v>273.14999999999998</v>
      </c>
    </row>
    <row r="151" spans="1:34">
      <c r="B151" s="22" t="s">
        <v>93</v>
      </c>
      <c r="C151" s="47" t="e">
        <f>C110/C150/Лаб.Журнал!$E$22</f>
        <v>#DIV/0!</v>
      </c>
      <c r="D151" s="48" t="e">
        <f>D110/D150/Лаб.Журнал!$E$22</f>
        <v>#DIV/0!</v>
      </c>
      <c r="E151" s="48" t="e">
        <f>E110/E150/Лаб.Журнал!$E$22</f>
        <v>#DIV/0!</v>
      </c>
      <c r="F151" s="48" t="e">
        <f>F110/F150/Лаб.Журнал!$E$22</f>
        <v>#DIV/0!</v>
      </c>
      <c r="G151" s="48" t="e">
        <f>G110/G150/Лаб.Журнал!$E$22</f>
        <v>#DIV/0!</v>
      </c>
      <c r="H151" s="48" t="e">
        <f>H110/H150/Лаб.Журнал!$E$22</f>
        <v>#DIV/0!</v>
      </c>
      <c r="I151" s="48" t="e">
        <f>I110/I150/Лаб.Журнал!$E$22</f>
        <v>#DIV/0!</v>
      </c>
      <c r="J151" s="48" t="e">
        <f>J110/J150/Лаб.Журнал!$E$22</f>
        <v>#DIV/0!</v>
      </c>
      <c r="K151" s="48" t="e">
        <f>K110/K150/Лаб.Журнал!$E$22</f>
        <v>#DIV/0!</v>
      </c>
      <c r="L151" s="48" t="e">
        <f>L110/L150/Лаб.Журнал!$E$22</f>
        <v>#DIV/0!</v>
      </c>
      <c r="M151" s="48" t="e">
        <f>M110/M150/Лаб.Журнал!$E$22</f>
        <v>#DIV/0!</v>
      </c>
      <c r="N151" s="48" t="e">
        <f>N110/N150/Лаб.Журнал!$E$22</f>
        <v>#DIV/0!</v>
      </c>
      <c r="O151" s="48" t="e">
        <f>O110/O150/Лаб.Журнал!$E$22</f>
        <v>#DIV/0!</v>
      </c>
      <c r="P151" s="48" t="e">
        <f>P110/P150/Лаб.Журнал!$E$22</f>
        <v>#DIV/0!</v>
      </c>
      <c r="Q151" s="48" t="e">
        <f>Q110/Q150/Лаб.Журнал!$E$22</f>
        <v>#DIV/0!</v>
      </c>
      <c r="R151" s="48" t="e">
        <f>R110/R150/Лаб.Журнал!$E$22</f>
        <v>#DIV/0!</v>
      </c>
      <c r="S151" s="48" t="e">
        <f>S110/S150/Лаб.Журнал!$E$22</f>
        <v>#DIV/0!</v>
      </c>
      <c r="T151" s="48" t="e">
        <f>T110/T150/Лаб.Журнал!$E$22</f>
        <v>#DIV/0!</v>
      </c>
      <c r="U151" s="48" t="e">
        <f>U110/U150/Лаб.Журнал!$E$22</f>
        <v>#DIV/0!</v>
      </c>
      <c r="V151" s="48" t="e">
        <f>V110/V150/Лаб.Журнал!$E$22</f>
        <v>#DIV/0!</v>
      </c>
      <c r="W151" s="48" t="e">
        <f>W110/W150/Лаб.Журнал!$E$22</f>
        <v>#DIV/0!</v>
      </c>
      <c r="X151" s="48" t="e">
        <f>X110/X150/Лаб.Журнал!$E$22</f>
        <v>#DIV/0!</v>
      </c>
      <c r="Y151" s="48" t="e">
        <f>Y110/Y150/Лаб.Журнал!$E$22</f>
        <v>#DIV/0!</v>
      </c>
      <c r="Z151" s="48" t="e">
        <f>Z110/Z150/Лаб.Журнал!$E$22</f>
        <v>#DIV/0!</v>
      </c>
      <c r="AA151" s="48" t="e">
        <f>AA110/AA150/Лаб.Журнал!$E$22</f>
        <v>#DIV/0!</v>
      </c>
      <c r="AB151" s="48" t="e">
        <f>AB110/AB150/Лаб.Журнал!$E$22</f>
        <v>#DIV/0!</v>
      </c>
      <c r="AC151" s="48" t="e">
        <f>AC110/AC150/Лаб.Журнал!$E$22</f>
        <v>#DIV/0!</v>
      </c>
      <c r="AD151" s="48" t="e">
        <f>AD110/AD150/Лаб.Журнал!$E$22</f>
        <v>#DIV/0!</v>
      </c>
      <c r="AE151" s="48" t="e">
        <f>AE110/AE150/Лаб.Журнал!$E$22</f>
        <v>#DIV/0!</v>
      </c>
      <c r="AF151" s="48" t="e">
        <f>AF110/AF150/Лаб.Журнал!$E$22</f>
        <v>#DIV/0!</v>
      </c>
      <c r="AG151" s="48" t="e">
        <f>AG110/AG150/Лаб.Журнал!$E$22</f>
        <v>#DIV/0!</v>
      </c>
      <c r="AH151" s="49" t="e">
        <f>AH110/AH150/Лаб.Журнал!$E$22</f>
        <v>#DIV/0!</v>
      </c>
    </row>
    <row r="180" spans="2:8">
      <c r="B180" s="13" t="s">
        <v>104</v>
      </c>
      <c r="C180" s="13" t="s">
        <v>96</v>
      </c>
      <c r="D180" s="13" t="s">
        <v>97</v>
      </c>
      <c r="E180" s="13" t="s">
        <v>98</v>
      </c>
      <c r="F180" s="13" t="s">
        <v>99</v>
      </c>
      <c r="G180" s="13" t="s">
        <v>100</v>
      </c>
      <c r="H180" s="13" t="s">
        <v>101</v>
      </c>
    </row>
    <row r="181" spans="2:8">
      <c r="B181" s="22" t="s">
        <v>94</v>
      </c>
    </row>
    <row r="182" spans="2:8">
      <c r="B182" s="22" t="s">
        <v>103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22" t="s">
        <v>102</v>
      </c>
      <c r="C183" s="13">
        <f>C182</f>
        <v>13.3</v>
      </c>
      <c r="D183" s="13">
        <f t="shared" ref="D183:G183" si="15">D182</f>
        <v>8</v>
      </c>
      <c r="E183" s="13">
        <f t="shared" si="15"/>
        <v>5.5</v>
      </c>
      <c r="F183" s="13">
        <f t="shared" si="15"/>
        <v>4.8</v>
      </c>
      <c r="G183" s="13">
        <f t="shared" si="15"/>
        <v>2.2000000000000002</v>
      </c>
      <c r="H183" s="13">
        <f>H182</f>
        <v>382</v>
      </c>
    </row>
    <row r="184" spans="2:8">
      <c r="B184" s="22" t="s">
        <v>95</v>
      </c>
      <c r="C184" s="13">
        <f>C181*C183*C183/C182</f>
        <v>0</v>
      </c>
      <c r="D184" s="13">
        <f t="shared" ref="D184:H184" si="16">D181*D183*D183/D182</f>
        <v>0</v>
      </c>
      <c r="E184" s="13">
        <f t="shared" si="16"/>
        <v>0</v>
      </c>
      <c r="F184" s="13">
        <f t="shared" si="16"/>
        <v>0</v>
      </c>
      <c r="G184" s="13">
        <f t="shared" si="16"/>
        <v>0</v>
      </c>
      <c r="H184" s="13">
        <f t="shared" si="16"/>
        <v>0</v>
      </c>
    </row>
  </sheetData>
  <mergeCells count="16">
    <mergeCell ref="B76:H76"/>
    <mergeCell ref="B107:I107"/>
    <mergeCell ref="B138:I138"/>
    <mergeCell ref="B143:E143"/>
    <mergeCell ref="B148:H148"/>
    <mergeCell ref="C10:J10"/>
    <mergeCell ref="K10:R10"/>
    <mergeCell ref="B41:G41"/>
    <mergeCell ref="B46:G46"/>
    <mergeCell ref="C47:R47"/>
    <mergeCell ref="B39:J39"/>
    <mergeCell ref="B2:O2"/>
    <mergeCell ref="B4:E4"/>
    <mergeCell ref="B9:E9"/>
    <mergeCell ref="C5:J5"/>
    <mergeCell ref="K5:R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topLeftCell="A40" zoomScale="90" zoomScaleNormal="90" workbookViewId="0">
      <selection activeCell="F12" sqref="F12"/>
    </sheetView>
  </sheetViews>
  <sheetFormatPr defaultColWidth="9" defaultRowHeight="14.4"/>
  <cols>
    <col min="4" max="5" width="8.88671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Отчет!C140</f>
        <v>3.6609921288669233E-3</v>
      </c>
      <c r="C2" s="1">
        <f>Отчет!D140</f>
        <v>3.6609921288669233E-3</v>
      </c>
      <c r="D2" s="1">
        <f>Отчет!E140</f>
        <v>3.6609921288669233E-3</v>
      </c>
      <c r="E2" s="1">
        <f>Отчет!F140</f>
        <v>3.6609921288669233E-3</v>
      </c>
      <c r="F2" s="1">
        <f>Отчет!G140</f>
        <v>3.6609921288669233E-3</v>
      </c>
      <c r="G2" s="1">
        <f>Отчет!H140</f>
        <v>3.6609921288669233E-3</v>
      </c>
      <c r="H2" s="1">
        <f>Отчет!I140</f>
        <v>3.6609921288669233E-3</v>
      </c>
      <c r="I2" s="1">
        <f>Отчет!J140</f>
        <v>3.6609921288669233E-3</v>
      </c>
      <c r="J2" s="1">
        <f>Отчет!K140</f>
        <v>3.6609921288669233E-3</v>
      </c>
      <c r="K2" s="1">
        <f>Отчет!L140</f>
        <v>3.6609921288669233E-3</v>
      </c>
      <c r="L2" s="1">
        <f>Отчет!M140</f>
        <v>3.6609921288669233E-3</v>
      </c>
      <c r="M2" s="1">
        <f>Отчет!N140</f>
        <v>3.6609921288669233E-3</v>
      </c>
      <c r="N2" s="1">
        <f>Отчет!O140</f>
        <v>3.6609921288669233E-3</v>
      </c>
      <c r="O2" s="1">
        <f>Отчет!P140</f>
        <v>3.6609921288669233E-3</v>
      </c>
      <c r="P2" s="1">
        <f>Отчет!Q140</f>
        <v>3.6609921288669233E-3</v>
      </c>
      <c r="Q2" s="1">
        <f>Отчет!R140</f>
        <v>3.6609921288669233E-3</v>
      </c>
      <c r="R2" s="1">
        <f>Отчет!S140</f>
        <v>3.6609921288669233E-3</v>
      </c>
      <c r="S2" s="1">
        <f>Отчет!T140</f>
        <v>3.6609921288669233E-3</v>
      </c>
      <c r="T2" s="1">
        <f>Отчет!U140</f>
        <v>3.6609921288669233E-3</v>
      </c>
      <c r="U2" s="1">
        <f>Отчет!V140</f>
        <v>3.6609921288669233E-3</v>
      </c>
      <c r="V2">
        <f>Отчет!W140</f>
        <v>3.6609921288669233E-3</v>
      </c>
      <c r="W2">
        <f>Отчет!X140</f>
        <v>3.6609921288669233E-3</v>
      </c>
      <c r="X2">
        <f>Отчет!Y140</f>
        <v>3.6609921288669233E-3</v>
      </c>
      <c r="Y2">
        <f>Отчет!Z140</f>
        <v>3.6609921288669233E-3</v>
      </c>
      <c r="Z2">
        <f>Отчет!AA140</f>
        <v>3.6609921288669233E-3</v>
      </c>
      <c r="AA2">
        <f>Отчет!AB140</f>
        <v>3.6609921288669233E-3</v>
      </c>
      <c r="AB2">
        <f>Отчет!AC140</f>
        <v>3.6609921288669233E-3</v>
      </c>
      <c r="AC2">
        <f>Отчет!AD140</f>
        <v>3.6609921288669233E-3</v>
      </c>
      <c r="AD2">
        <f>Отчет!AE140</f>
        <v>3.6609921288669233E-3</v>
      </c>
      <c r="AE2">
        <f>Отчет!AF140</f>
        <v>3.6609921288669233E-3</v>
      </c>
      <c r="AF2">
        <f>Отчет!AG140</f>
        <v>3.6609921288669233E-3</v>
      </c>
      <c r="AG2">
        <f>Отчет!AH140</f>
        <v>3.6609921288669233E-3</v>
      </c>
    </row>
    <row r="3" spans="1:33">
      <c r="A3" s="1" t="str">
        <f>Отчет!B141</f>
        <v>ln(Kp)</v>
      </c>
      <c r="B3" s="1" t="e">
        <f>Отчет!C141</f>
        <v>#DIV/0!</v>
      </c>
      <c r="C3" s="1" t="e">
        <f>Отчет!D141</f>
        <v>#DIV/0!</v>
      </c>
      <c r="D3" s="1" t="e">
        <f>Отчет!E141</f>
        <v>#DIV/0!</v>
      </c>
      <c r="E3" s="1" t="e">
        <f>Отчет!F141</f>
        <v>#DIV/0!</v>
      </c>
      <c r="F3" s="1" t="e">
        <f>Отчет!G141</f>
        <v>#DIV/0!</v>
      </c>
      <c r="G3" s="1" t="e">
        <f>Отчет!H141</f>
        <v>#DIV/0!</v>
      </c>
      <c r="H3" s="1" t="e">
        <f>Отчет!I141</f>
        <v>#DIV/0!</v>
      </c>
      <c r="I3" s="1" t="e">
        <f>Отчет!J141</f>
        <v>#DIV/0!</v>
      </c>
      <c r="J3" s="1" t="e">
        <f>Отчет!K141</f>
        <v>#DIV/0!</v>
      </c>
      <c r="K3" s="1" t="e">
        <f>Отчет!L141</f>
        <v>#DIV/0!</v>
      </c>
      <c r="L3" s="1" t="e">
        <f>Отчет!M141</f>
        <v>#DIV/0!</v>
      </c>
      <c r="M3" s="1" t="e">
        <f>Отчет!N141</f>
        <v>#DIV/0!</v>
      </c>
      <c r="N3" s="1" t="e">
        <f>Отчет!O141</f>
        <v>#DIV/0!</v>
      </c>
      <c r="O3" s="1" t="e">
        <f>Отчет!P141</f>
        <v>#DIV/0!</v>
      </c>
      <c r="P3" s="1" t="e">
        <f>Отчет!Q141</f>
        <v>#DIV/0!</v>
      </c>
      <c r="Q3" s="1" t="e">
        <f>Отчет!R141</f>
        <v>#DIV/0!</v>
      </c>
      <c r="R3" s="1" t="e">
        <f>Отчет!S141</f>
        <v>#DIV/0!</v>
      </c>
      <c r="S3" s="1" t="e">
        <f>Отчет!T141</f>
        <v>#DIV/0!</v>
      </c>
      <c r="T3" s="1" t="e">
        <f>Отчет!U141</f>
        <v>#DIV/0!</v>
      </c>
      <c r="U3" s="1" t="e">
        <f>Отчет!V141</f>
        <v>#DIV/0!</v>
      </c>
      <c r="V3" t="e">
        <f>Отчет!W141</f>
        <v>#DIV/0!</v>
      </c>
      <c r="W3" t="e">
        <f>Отчет!X141</f>
        <v>#DIV/0!</v>
      </c>
      <c r="X3" t="e">
        <f>Отчет!Y141</f>
        <v>#DIV/0!</v>
      </c>
      <c r="Y3" t="e">
        <f>Отчет!Z141</f>
        <v>#DIV/0!</v>
      </c>
      <c r="Z3" t="e">
        <f>Отчет!AA141</f>
        <v>#DIV/0!</v>
      </c>
      <c r="AA3" t="e">
        <f>Отчет!AB141</f>
        <v>#DIV/0!</v>
      </c>
      <c r="AB3" t="e">
        <f>Отчет!AC141</f>
        <v>#DIV/0!</v>
      </c>
      <c r="AC3" t="e">
        <f>Отчет!AD141</f>
        <v>#DIV/0!</v>
      </c>
      <c r="AD3" t="e">
        <f>Отчет!AE141</f>
        <v>#DIV/0!</v>
      </c>
      <c r="AE3" t="e">
        <f>Отчет!AF141</f>
        <v>#DIV/0!</v>
      </c>
      <c r="AF3" t="e">
        <f>Отчет!AG141</f>
        <v>#DIV/0!</v>
      </c>
      <c r="AG3" t="e">
        <f>Отчет!AH141</f>
        <v>#DIV/0!</v>
      </c>
    </row>
    <row r="4" spans="1:33">
      <c r="A4" s="1" t="s">
        <v>5</v>
      </c>
      <c r="B4" s="3">
        <f>B2*B2</f>
        <v>1.3402863367625568E-5</v>
      </c>
      <c r="C4" s="3">
        <f t="shared" ref="C4:G5" si="0">C2*C2</f>
        <v>1.3402863367625568E-5</v>
      </c>
      <c r="D4" s="3">
        <f t="shared" si="0"/>
        <v>1.3402863367625568E-5</v>
      </c>
      <c r="E4" s="3">
        <f t="shared" si="0"/>
        <v>1.3402863367625568E-5</v>
      </c>
      <c r="F4" s="3">
        <f t="shared" si="0"/>
        <v>1.3402863367625568E-5</v>
      </c>
      <c r="G4" s="3">
        <f t="shared" si="0"/>
        <v>1.3402863367625568E-5</v>
      </c>
      <c r="H4" s="3">
        <f t="shared" ref="H4:L4" si="1">H2*H2</f>
        <v>1.3402863367625568E-5</v>
      </c>
      <c r="I4" s="3">
        <f t="shared" si="1"/>
        <v>1.3402863367625568E-5</v>
      </c>
      <c r="J4" s="3">
        <f t="shared" si="1"/>
        <v>1.3402863367625568E-5</v>
      </c>
      <c r="K4" s="3">
        <f t="shared" si="1"/>
        <v>1.3402863367625568E-5</v>
      </c>
      <c r="L4" s="3">
        <f t="shared" si="1"/>
        <v>1.3402863367625568E-5</v>
      </c>
      <c r="M4" s="3">
        <f t="shared" ref="M4:P4" si="2">M2*M2</f>
        <v>1.3402863367625568E-5</v>
      </c>
      <c r="N4" s="3">
        <f t="shared" si="2"/>
        <v>1.3402863367625568E-5</v>
      </c>
      <c r="O4" s="3">
        <f t="shared" si="2"/>
        <v>1.3402863367625568E-5</v>
      </c>
      <c r="P4" s="3">
        <f t="shared" si="2"/>
        <v>1.3402863367625568E-5</v>
      </c>
      <c r="Q4" s="3">
        <f t="shared" ref="Q4:U4" si="3">Q2*Q2</f>
        <v>1.3402863367625568E-5</v>
      </c>
      <c r="R4" s="3">
        <f t="shared" si="3"/>
        <v>1.3402863367625568E-5</v>
      </c>
      <c r="S4" s="3">
        <f t="shared" si="3"/>
        <v>1.3402863367625568E-5</v>
      </c>
      <c r="T4" s="3">
        <f t="shared" si="3"/>
        <v>1.3402863367625568E-5</v>
      </c>
      <c r="U4" s="3">
        <f t="shared" si="3"/>
        <v>1.3402863367625568E-5</v>
      </c>
      <c r="V4" s="3">
        <f t="shared" ref="V4:AG4" si="4">V2*V2</f>
        <v>1.3402863367625568E-5</v>
      </c>
      <c r="W4" s="3">
        <f t="shared" si="4"/>
        <v>1.3402863367625568E-5</v>
      </c>
      <c r="X4" s="3">
        <f t="shared" si="4"/>
        <v>1.3402863367625568E-5</v>
      </c>
      <c r="Y4" s="3">
        <f t="shared" si="4"/>
        <v>1.3402863367625568E-5</v>
      </c>
      <c r="Z4" s="3">
        <f t="shared" si="4"/>
        <v>1.3402863367625568E-5</v>
      </c>
      <c r="AA4" s="3">
        <f t="shared" si="4"/>
        <v>1.3402863367625568E-5</v>
      </c>
      <c r="AB4" s="3">
        <f t="shared" si="4"/>
        <v>1.3402863367625568E-5</v>
      </c>
      <c r="AC4" s="3">
        <f t="shared" si="4"/>
        <v>1.3402863367625568E-5</v>
      </c>
      <c r="AD4" s="3">
        <f t="shared" si="4"/>
        <v>1.3402863367625568E-5</v>
      </c>
      <c r="AE4" s="3">
        <f t="shared" si="4"/>
        <v>1.3402863367625568E-5</v>
      </c>
      <c r="AF4" s="3">
        <f t="shared" si="4"/>
        <v>1.3402863367625568E-5</v>
      </c>
      <c r="AG4" s="3">
        <f t="shared" si="4"/>
        <v>1.3402863367625568E-5</v>
      </c>
    </row>
    <row r="5" spans="1:33">
      <c r="A5" s="1" t="s">
        <v>6</v>
      </c>
      <c r="B5" s="3" t="e">
        <f>B3*B3</f>
        <v>#DIV/0!</v>
      </c>
      <c r="C5" s="3" t="e">
        <f t="shared" si="0"/>
        <v>#DIV/0!</v>
      </c>
      <c r="D5" s="3" t="e">
        <f t="shared" si="0"/>
        <v>#DIV/0!</v>
      </c>
      <c r="E5" s="3" t="e">
        <f t="shared" si="0"/>
        <v>#DIV/0!</v>
      </c>
      <c r="F5" s="3" t="e">
        <f t="shared" si="0"/>
        <v>#DIV/0!</v>
      </c>
      <c r="G5" s="3" t="e">
        <f t="shared" si="0"/>
        <v>#DIV/0!</v>
      </c>
      <c r="H5" s="3" t="e">
        <f t="shared" ref="H5:L5" si="5">H3*H3</f>
        <v>#DIV/0!</v>
      </c>
      <c r="I5" s="3" t="e">
        <f t="shared" si="5"/>
        <v>#DIV/0!</v>
      </c>
      <c r="J5" s="3" t="e">
        <f t="shared" si="5"/>
        <v>#DIV/0!</v>
      </c>
      <c r="K5" s="3" t="e">
        <f t="shared" si="5"/>
        <v>#DIV/0!</v>
      </c>
      <c r="L5" s="3" t="e">
        <f t="shared" si="5"/>
        <v>#DIV/0!</v>
      </c>
      <c r="M5" s="3" t="e">
        <f t="shared" ref="M5:P5" si="6">M3*M3</f>
        <v>#DIV/0!</v>
      </c>
      <c r="N5" s="3" t="e">
        <f t="shared" si="6"/>
        <v>#DIV/0!</v>
      </c>
      <c r="O5" s="3" t="e">
        <f t="shared" si="6"/>
        <v>#DIV/0!</v>
      </c>
      <c r="P5" s="3" t="e">
        <f t="shared" si="6"/>
        <v>#DIV/0!</v>
      </c>
      <c r="Q5" s="3" t="e">
        <f t="shared" ref="Q5:U5" si="7">Q3*Q3</f>
        <v>#DIV/0!</v>
      </c>
      <c r="R5" s="3" t="e">
        <f t="shared" si="7"/>
        <v>#DIV/0!</v>
      </c>
      <c r="S5" s="3" t="e">
        <f t="shared" si="7"/>
        <v>#DIV/0!</v>
      </c>
      <c r="T5" s="3" t="e">
        <f t="shared" si="7"/>
        <v>#DIV/0!</v>
      </c>
      <c r="U5" s="3" t="e">
        <f t="shared" si="7"/>
        <v>#DIV/0!</v>
      </c>
      <c r="V5" s="3" t="e">
        <f t="shared" ref="V5:AG5" si="8">V3*V3</f>
        <v>#DIV/0!</v>
      </c>
      <c r="W5" s="3" t="e">
        <f t="shared" si="8"/>
        <v>#DIV/0!</v>
      </c>
      <c r="X5" s="3" t="e">
        <f t="shared" si="8"/>
        <v>#DIV/0!</v>
      </c>
      <c r="Y5" s="3" t="e">
        <f t="shared" si="8"/>
        <v>#DIV/0!</v>
      </c>
      <c r="Z5" s="3" t="e">
        <f t="shared" si="8"/>
        <v>#DIV/0!</v>
      </c>
      <c r="AA5" s="3" t="e">
        <f t="shared" si="8"/>
        <v>#DIV/0!</v>
      </c>
      <c r="AB5" s="3" t="e">
        <f t="shared" si="8"/>
        <v>#DIV/0!</v>
      </c>
      <c r="AC5" s="3" t="e">
        <f t="shared" si="8"/>
        <v>#DIV/0!</v>
      </c>
      <c r="AD5" s="3" t="e">
        <f t="shared" si="8"/>
        <v>#DIV/0!</v>
      </c>
      <c r="AE5" s="3" t="e">
        <f t="shared" si="8"/>
        <v>#DIV/0!</v>
      </c>
      <c r="AF5" s="3" t="e">
        <f t="shared" si="8"/>
        <v>#DIV/0!</v>
      </c>
      <c r="AG5" s="3" t="e">
        <f t="shared" si="8"/>
        <v>#DIV/0!</v>
      </c>
    </row>
    <row r="6" spans="1:33">
      <c r="A6" s="1" t="s">
        <v>7</v>
      </c>
      <c r="B6" s="5" t="e">
        <f>B2*B3</f>
        <v>#DIV/0!</v>
      </c>
      <c r="C6" s="5" t="e">
        <f t="shared" ref="C6:G6" si="9">C2*C3</f>
        <v>#DIV/0!</v>
      </c>
      <c r="D6" s="5" t="e">
        <f t="shared" si="9"/>
        <v>#DIV/0!</v>
      </c>
      <c r="E6" s="5" t="e">
        <f t="shared" si="9"/>
        <v>#DIV/0!</v>
      </c>
      <c r="F6" s="5" t="e">
        <f t="shared" si="9"/>
        <v>#DIV/0!</v>
      </c>
      <c r="G6" s="5" t="e">
        <f t="shared" si="9"/>
        <v>#DIV/0!</v>
      </c>
      <c r="H6" s="5" t="e">
        <f t="shared" ref="H6:L6" si="10">H2*H3</f>
        <v>#DIV/0!</v>
      </c>
      <c r="I6" s="5" t="e">
        <f t="shared" si="10"/>
        <v>#DIV/0!</v>
      </c>
      <c r="J6" s="5" t="e">
        <f t="shared" si="10"/>
        <v>#DIV/0!</v>
      </c>
      <c r="K6" s="5" t="e">
        <f t="shared" si="10"/>
        <v>#DIV/0!</v>
      </c>
      <c r="L6" s="5" t="e">
        <f t="shared" si="10"/>
        <v>#DIV/0!</v>
      </c>
      <c r="M6" s="5" t="e">
        <f t="shared" ref="M6:P6" si="11">M2*M3</f>
        <v>#DIV/0!</v>
      </c>
      <c r="N6" s="5" t="e">
        <f t="shared" si="11"/>
        <v>#DIV/0!</v>
      </c>
      <c r="O6" s="5" t="e">
        <f t="shared" si="11"/>
        <v>#DIV/0!</v>
      </c>
      <c r="P6" s="5" t="e">
        <f t="shared" si="11"/>
        <v>#DIV/0!</v>
      </c>
      <c r="Q6" s="5" t="e">
        <f t="shared" ref="Q6:U6" si="12">Q2*Q3</f>
        <v>#DIV/0!</v>
      </c>
      <c r="R6" s="5" t="e">
        <f t="shared" si="12"/>
        <v>#DIV/0!</v>
      </c>
      <c r="S6" s="5" t="e">
        <f t="shared" si="12"/>
        <v>#DIV/0!</v>
      </c>
      <c r="T6" s="5" t="e">
        <f t="shared" si="12"/>
        <v>#DIV/0!</v>
      </c>
      <c r="U6" s="5" t="e">
        <f t="shared" si="12"/>
        <v>#DIV/0!</v>
      </c>
      <c r="V6" s="5" t="e">
        <f t="shared" ref="V6:AG6" si="13">V2*V3</f>
        <v>#DIV/0!</v>
      </c>
      <c r="W6" s="5" t="e">
        <f t="shared" si="13"/>
        <v>#DIV/0!</v>
      </c>
      <c r="X6" s="5" t="e">
        <f t="shared" si="13"/>
        <v>#DIV/0!</v>
      </c>
      <c r="Y6" s="5" t="e">
        <f t="shared" si="13"/>
        <v>#DIV/0!</v>
      </c>
      <c r="Z6" s="5" t="e">
        <f t="shared" si="13"/>
        <v>#DIV/0!</v>
      </c>
      <c r="AA6" s="5" t="e">
        <f t="shared" si="13"/>
        <v>#DIV/0!</v>
      </c>
      <c r="AB6" s="5" t="e">
        <f t="shared" si="13"/>
        <v>#DIV/0!</v>
      </c>
      <c r="AC6" s="5" t="e">
        <f t="shared" si="13"/>
        <v>#DIV/0!</v>
      </c>
      <c r="AD6" s="5" t="e">
        <f t="shared" si="13"/>
        <v>#DIV/0!</v>
      </c>
      <c r="AE6" s="5" t="e">
        <f t="shared" si="13"/>
        <v>#DIV/0!</v>
      </c>
      <c r="AF6" s="5" t="e">
        <f t="shared" si="13"/>
        <v>#DIV/0!</v>
      </c>
      <c r="AG6" s="5" t="e">
        <f t="shared" si="13"/>
        <v>#DIV/0!</v>
      </c>
    </row>
    <row r="7" spans="1:33">
      <c r="A7" s="1" t="s">
        <v>0</v>
      </c>
      <c r="B7" s="6">
        <f>AVERAGE(B2:AG2)</f>
        <v>3.660992128866922E-3</v>
      </c>
      <c r="C7" s="1" t="s">
        <v>2</v>
      </c>
      <c r="D7" s="4">
        <f>AVERAGE(B4:AG4)</f>
        <v>1.3402863367625576E-5</v>
      </c>
      <c r="E7" s="1" t="s">
        <v>4</v>
      </c>
      <c r="F7" s="7" t="e">
        <f>AVERAGE(B6:AG6)</f>
        <v>#DIV/0!</v>
      </c>
    </row>
    <row r="8" spans="1:33">
      <c r="A8" s="1" t="s">
        <v>1</v>
      </c>
      <c r="B8" s="6" t="e">
        <f>AVERAGE(B3:AG3)</f>
        <v>#DIV/0!</v>
      </c>
      <c r="C8" s="1" t="s">
        <v>3</v>
      </c>
      <c r="D8" s="4" t="e">
        <f>AVERAGE(B5:AG5)</f>
        <v>#DIV/0!</v>
      </c>
      <c r="E8" s="1" t="s">
        <v>9</v>
      </c>
      <c r="F8" s="8">
        <v>32</v>
      </c>
    </row>
    <row r="9" spans="1:33">
      <c r="A9" s="1" t="s">
        <v>17</v>
      </c>
      <c r="B9" s="9" t="e">
        <f>(F7-B7*B8)/(D7-B7*B7)</f>
        <v>#DIV/0!</v>
      </c>
      <c r="C9" s="1" t="s">
        <v>11</v>
      </c>
      <c r="D9" s="9" t="e">
        <f>SQRT(((D8-B8*B8)/(D7-B7*B7)-B9*B9)/F8)</f>
        <v>#DIV/0!</v>
      </c>
      <c r="E9" s="12" t="s">
        <v>14</v>
      </c>
      <c r="F9" s="1" t="e">
        <f>D9/B9*100</f>
        <v>#DIV/0!</v>
      </c>
    </row>
    <row r="10" spans="1:33">
      <c r="A10" s="1" t="s">
        <v>8</v>
      </c>
      <c r="B10" s="10" t="e">
        <f>B8-B9*B7</f>
        <v>#DIV/0!</v>
      </c>
      <c r="C10" s="1" t="s">
        <v>12</v>
      </c>
      <c r="D10" s="10" t="e">
        <f>(SQRT(D7-B7*B7))*D9</f>
        <v>#DIV/0!</v>
      </c>
      <c r="E10" s="12" t="s">
        <v>15</v>
      </c>
      <c r="F10" s="1" t="e">
        <f t="shared" ref="F10:F11" si="14">D10/B10*100</f>
        <v>#DIV/0!</v>
      </c>
    </row>
    <row r="11" spans="1:33">
      <c r="A11" s="1" t="s">
        <v>10</v>
      </c>
      <c r="B11" s="2" t="e">
        <f>F7/D7</f>
        <v>#DIV/0!</v>
      </c>
      <c r="C11" s="1" t="s">
        <v>13</v>
      </c>
      <c r="D11" s="2" t="e">
        <f>SQRT((D8/D7-B11*B11)/F8)</f>
        <v>#DIV/0!</v>
      </c>
      <c r="E11" s="12" t="s">
        <v>16</v>
      </c>
      <c r="F11" s="1" t="e">
        <f>D11/B11*100</f>
        <v>#DIV/0!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5">C30*C30</f>
        <v>80173.922499999986</v>
      </c>
      <c r="D32" s="3">
        <f t="shared" si="15"/>
        <v>85936.922499999986</v>
      </c>
      <c r="E32" s="3">
        <f t="shared" si="15"/>
        <v>86612.489999999976</v>
      </c>
      <c r="F32" s="3">
        <f t="shared" si="15"/>
        <v>88893.422499999986</v>
      </c>
      <c r="G32" s="3">
        <f t="shared" si="15"/>
        <v>91899.922499999986</v>
      </c>
      <c r="H32" s="3">
        <f t="shared" si="15"/>
        <v>98062.922499999986</v>
      </c>
      <c r="I32" s="3">
        <f t="shared" si="15"/>
        <v>104425.92249999999</v>
      </c>
      <c r="J32" s="3">
        <f t="shared" si="15"/>
        <v>110988.92249999999</v>
      </c>
      <c r="K32" s="3">
        <f t="shared" si="15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6">C31*C31</f>
        <v>19554.546230737724</v>
      </c>
      <c r="D33" s="3">
        <f t="shared" si="16"/>
        <v>19987.874820874677</v>
      </c>
      <c r="E33" s="3">
        <f t="shared" si="16"/>
        <v>20096.948969419405</v>
      </c>
      <c r="F33" s="3">
        <f t="shared" si="16"/>
        <v>20315.9876677215</v>
      </c>
      <c r="G33" s="3">
        <f t="shared" si="16"/>
        <v>20536.213567640414</v>
      </c>
      <c r="H33" s="3">
        <f t="shared" si="16"/>
        <v>20980.22697232867</v>
      </c>
      <c r="I33" s="3">
        <f t="shared" si="16"/>
        <v>21428.989183484195</v>
      </c>
      <c r="J33" s="3">
        <f t="shared" si="16"/>
        <v>21882.500201106959</v>
      </c>
      <c r="K33" s="3">
        <f t="shared" si="16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7">C30*C31</f>
        <v>39595.008195804599</v>
      </c>
      <c r="D34" s="5">
        <f t="shared" si="17"/>
        <v>41445.101633621409</v>
      </c>
      <c r="E34" s="5">
        <f t="shared" si="17"/>
        <v>41721.059330323194</v>
      </c>
      <c r="F34" s="5">
        <f t="shared" si="17"/>
        <v>42496.560746153991</v>
      </c>
      <c r="G34" s="5">
        <f t="shared" si="17"/>
        <v>43442.794975802404</v>
      </c>
      <c r="H34" s="5">
        <f t="shared" si="17"/>
        <v>45358.377083179199</v>
      </c>
      <c r="I34" s="5">
        <f t="shared" si="17"/>
        <v>47304.777387996008</v>
      </c>
      <c r="J34" s="5">
        <f t="shared" si="17"/>
        <v>49281.995890252809</v>
      </c>
      <c r="K34" s="5">
        <f t="shared" si="17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8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8"/>
        <v>1.4168138048093331</v>
      </c>
    </row>
    <row r="41" spans="1:11">
      <c r="A41" t="s">
        <v>73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9">C43*C43</f>
        <v>80173.922499999986</v>
      </c>
      <c r="D45" s="3">
        <f t="shared" si="19"/>
        <v>85936.922499999986</v>
      </c>
      <c r="E45" s="3">
        <f t="shared" si="19"/>
        <v>91899.922499999986</v>
      </c>
      <c r="F45" s="3">
        <f t="shared" si="19"/>
        <v>98062.922499999986</v>
      </c>
      <c r="G45" s="3">
        <f t="shared" si="19"/>
        <v>104425.92249999999</v>
      </c>
      <c r="H45" s="3">
        <f t="shared" si="19"/>
        <v>110988.92249999999</v>
      </c>
      <c r="I45" s="3">
        <f t="shared" si="19"/>
        <v>117751.92249999999</v>
      </c>
      <c r="J45" s="3">
        <f t="shared" si="19"/>
        <v>124714.92249999999</v>
      </c>
      <c r="K45" s="3">
        <f t="shared" si="19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20">C44*C44</f>
        <v>3632.5238996505095</v>
      </c>
      <c r="D46" s="3">
        <f t="shared" si="20"/>
        <v>3551.5022539646079</v>
      </c>
      <c r="E46" s="3">
        <f t="shared" si="20"/>
        <v>3480.4729429266645</v>
      </c>
      <c r="F46" s="3">
        <f t="shared" si="20"/>
        <v>3418.0278124958854</v>
      </c>
      <c r="G46" s="3">
        <f t="shared" si="20"/>
        <v>3363.0007474381127</v>
      </c>
      <c r="H46" s="3">
        <f t="shared" si="20"/>
        <v>3314.4192578739717</v>
      </c>
      <c r="I46" s="3">
        <f t="shared" si="20"/>
        <v>3271.4670046644565</v>
      </c>
      <c r="J46" s="3">
        <f t="shared" si="20"/>
        <v>3233.454530042753</v>
      </c>
      <c r="K46" s="3">
        <f t="shared" si="20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21">C43*C44</f>
        <v>17065.570298410119</v>
      </c>
      <c r="D47" s="5">
        <f t="shared" si="21"/>
        <v>17470.12232234027</v>
      </c>
      <c r="E47" s="5">
        <f t="shared" si="21"/>
        <v>17884.495903388146</v>
      </c>
      <c r="F47" s="5">
        <f t="shared" si="21"/>
        <v>18307.970845498647</v>
      </c>
      <c r="G47" s="5">
        <f t="shared" si="21"/>
        <v>18739.916099583115</v>
      </c>
      <c r="H47" s="5">
        <f t="shared" si="21"/>
        <v>19179.776384115685</v>
      </c>
      <c r="I47" s="5">
        <f t="shared" si="21"/>
        <v>19627.061145127056</v>
      </c>
      <c r="J47" s="5">
        <f t="shared" si="21"/>
        <v>20081.335391889548</v>
      </c>
      <c r="K47" s="5">
        <f t="shared" si="21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22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22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5"/>
  <sheetViews>
    <sheetView workbookViewId="0">
      <selection activeCell="K18" sqref="K18"/>
    </sheetView>
  </sheetViews>
  <sheetFormatPr defaultColWidth="9.33203125" defaultRowHeight="13.8" customHeight="1"/>
  <cols>
    <col min="1" max="1" width="9.33203125" style="17"/>
    <col min="2" max="2" width="9.21875" customWidth="1"/>
  </cols>
  <sheetData>
    <row r="2" spans="1:18" ht="21.6" customHeight="1">
      <c r="B2" s="18" t="s">
        <v>18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3">
        <v>29</v>
      </c>
    </row>
    <row r="4" spans="1:18" ht="13.8" customHeight="1">
      <c r="A4" s="17">
        <v>1</v>
      </c>
      <c r="B4" s="21" t="s">
        <v>19</v>
      </c>
      <c r="C4" s="21"/>
      <c r="D4" s="21"/>
      <c r="E4" s="21"/>
      <c r="F4" s="37" t="s">
        <v>25</v>
      </c>
      <c r="G4" s="1"/>
    </row>
    <row r="5" spans="1:18" ht="13.8" customHeight="1">
      <c r="C5" s="56">
        <v>1</v>
      </c>
      <c r="D5" s="56">
        <v>2</v>
      </c>
      <c r="E5" s="56">
        <v>3</v>
      </c>
      <c r="F5" s="56">
        <v>4</v>
      </c>
      <c r="G5" s="56">
        <v>5</v>
      </c>
      <c r="H5" s="56">
        <v>6</v>
      </c>
      <c r="I5" s="56">
        <v>7</v>
      </c>
      <c r="J5" s="56">
        <v>8</v>
      </c>
      <c r="K5" s="56">
        <v>9</v>
      </c>
      <c r="L5" s="56">
        <v>10</v>
      </c>
      <c r="M5" s="56">
        <v>11</v>
      </c>
      <c r="N5" s="56">
        <v>12</v>
      </c>
      <c r="O5" s="56">
        <v>13</v>
      </c>
      <c r="P5" s="56">
        <v>14</v>
      </c>
      <c r="Q5" s="56">
        <v>15</v>
      </c>
      <c r="R5" s="56">
        <v>16</v>
      </c>
    </row>
    <row r="6" spans="1:18" ht="13.8" customHeight="1">
      <c r="B6" s="24" t="s">
        <v>20</v>
      </c>
      <c r="C6" s="34"/>
      <c r="D6" s="35"/>
      <c r="E6" s="35"/>
      <c r="F6" s="35"/>
      <c r="G6" s="35"/>
      <c r="H6" s="35"/>
      <c r="I6" s="35"/>
      <c r="J6" s="36"/>
      <c r="K6" s="34"/>
      <c r="L6" s="35"/>
      <c r="M6" s="35"/>
      <c r="N6" s="35"/>
      <c r="O6" s="35"/>
      <c r="P6" s="35"/>
      <c r="Q6" s="35"/>
      <c r="R6" s="36"/>
    </row>
    <row r="7" spans="1:18" ht="13.8" customHeight="1">
      <c r="B7" s="24" t="s">
        <v>21</v>
      </c>
      <c r="C7" s="28"/>
      <c r="D7" s="29"/>
      <c r="E7" s="29"/>
      <c r="F7" s="29"/>
      <c r="G7" s="29"/>
      <c r="H7" s="29"/>
      <c r="I7" s="29"/>
      <c r="J7" s="30"/>
      <c r="K7" s="28"/>
      <c r="L7" s="29"/>
      <c r="M7" s="29"/>
      <c r="N7" s="29"/>
      <c r="O7" s="29"/>
      <c r="P7" s="29"/>
      <c r="Q7" s="29"/>
      <c r="R7" s="30"/>
    </row>
    <row r="8" spans="1:18" ht="13.8" customHeight="1">
      <c r="B8" s="24" t="s">
        <v>22</v>
      </c>
      <c r="C8" s="28"/>
      <c r="D8" s="29"/>
      <c r="E8" s="29"/>
      <c r="F8" s="29"/>
      <c r="G8" s="29"/>
      <c r="H8" s="29"/>
      <c r="I8" s="29"/>
      <c r="J8" s="30"/>
      <c r="K8" s="28"/>
      <c r="L8" s="29"/>
      <c r="M8" s="29"/>
      <c r="N8" s="29"/>
      <c r="O8" s="29"/>
      <c r="P8" s="29"/>
      <c r="Q8" s="29"/>
      <c r="R8" s="30"/>
    </row>
    <row r="9" spans="1:18" ht="13.8" customHeight="1">
      <c r="B9" s="24" t="s">
        <v>23</v>
      </c>
      <c r="C9" s="31"/>
      <c r="D9" s="32"/>
      <c r="E9" s="32"/>
      <c r="F9" s="32"/>
      <c r="G9" s="32"/>
      <c r="H9" s="32"/>
      <c r="I9" s="32"/>
      <c r="J9" s="33"/>
      <c r="K9" s="31"/>
      <c r="L9" s="32"/>
      <c r="M9" s="32"/>
      <c r="N9" s="32"/>
      <c r="O9" s="32"/>
      <c r="P9" s="32"/>
      <c r="Q9" s="32"/>
      <c r="R9" s="33"/>
    </row>
    <row r="11" spans="1:18" ht="13.8" customHeight="1">
      <c r="A11" s="38">
        <v>2</v>
      </c>
      <c r="B11" s="21" t="s">
        <v>19</v>
      </c>
      <c r="C11" s="21"/>
      <c r="D11" s="21"/>
      <c r="E11" s="21"/>
      <c r="F11" s="37" t="s">
        <v>25</v>
      </c>
      <c r="G11" s="1"/>
    </row>
    <row r="12" spans="1:18" ht="13.8" customHeight="1">
      <c r="C12" s="56">
        <v>1</v>
      </c>
      <c r="D12" s="56">
        <v>2</v>
      </c>
      <c r="E12" s="56">
        <v>3</v>
      </c>
      <c r="F12" s="56">
        <v>4</v>
      </c>
      <c r="G12" s="56">
        <v>5</v>
      </c>
      <c r="H12" s="56">
        <v>6</v>
      </c>
      <c r="I12" s="56">
        <v>7</v>
      </c>
      <c r="J12" s="56">
        <v>8</v>
      </c>
      <c r="K12" s="56">
        <v>9</v>
      </c>
      <c r="L12" s="56">
        <v>10</v>
      </c>
      <c r="M12" s="56">
        <v>11</v>
      </c>
      <c r="N12" s="56">
        <v>12</v>
      </c>
      <c r="O12" s="56">
        <v>13</v>
      </c>
      <c r="P12" s="56">
        <v>14</v>
      </c>
      <c r="Q12" s="56">
        <v>15</v>
      </c>
      <c r="R12" s="56">
        <v>16</v>
      </c>
    </row>
    <row r="13" spans="1:18" ht="13.8" customHeight="1">
      <c r="B13" s="24" t="s">
        <v>20</v>
      </c>
      <c r="C13" s="34"/>
      <c r="D13" s="35"/>
      <c r="E13" s="35"/>
      <c r="F13" s="35"/>
      <c r="G13" s="35"/>
      <c r="H13" s="35"/>
      <c r="I13" s="35"/>
      <c r="J13" s="36"/>
      <c r="K13" s="34"/>
      <c r="L13" s="35"/>
      <c r="M13" s="35"/>
      <c r="N13" s="35"/>
      <c r="O13" s="35"/>
      <c r="P13" s="35"/>
      <c r="Q13" s="35"/>
      <c r="R13" s="36"/>
    </row>
    <row r="14" spans="1:18" ht="13.8" customHeight="1">
      <c r="B14" s="24" t="s">
        <v>21</v>
      </c>
      <c r="C14" s="28"/>
      <c r="D14" s="29"/>
      <c r="E14" s="29"/>
      <c r="F14" s="29"/>
      <c r="G14" s="29"/>
      <c r="H14" s="29"/>
      <c r="I14" s="29"/>
      <c r="J14" s="30"/>
      <c r="K14" s="28"/>
      <c r="L14" s="29"/>
      <c r="M14" s="29"/>
      <c r="N14" s="29"/>
      <c r="O14" s="29"/>
      <c r="P14" s="29"/>
      <c r="Q14" s="29"/>
      <c r="R14" s="30"/>
    </row>
    <row r="15" spans="1:18" ht="13.8" customHeight="1">
      <c r="B15" s="24" t="s">
        <v>22</v>
      </c>
      <c r="C15" s="28"/>
      <c r="D15" s="29"/>
      <c r="E15" s="29"/>
      <c r="F15" s="29"/>
      <c r="G15" s="29"/>
      <c r="H15" s="29"/>
      <c r="I15" s="29"/>
      <c r="J15" s="30"/>
      <c r="K15" s="28"/>
      <c r="L15" s="29"/>
      <c r="M15" s="29"/>
      <c r="N15" s="29"/>
      <c r="O15" s="29"/>
      <c r="P15" s="29"/>
      <c r="Q15" s="29"/>
      <c r="R15" s="30"/>
    </row>
    <row r="16" spans="1:18" ht="13.8" customHeight="1">
      <c r="B16" s="24" t="s">
        <v>23</v>
      </c>
      <c r="C16" s="31"/>
      <c r="D16" s="32"/>
      <c r="E16" s="32"/>
      <c r="F16" s="32"/>
      <c r="G16" s="32"/>
      <c r="H16" s="32"/>
      <c r="I16" s="32"/>
      <c r="J16" s="33"/>
      <c r="K16" s="31"/>
      <c r="L16" s="32"/>
      <c r="M16" s="32"/>
      <c r="N16" s="32"/>
      <c r="O16" s="32"/>
      <c r="P16" s="32"/>
      <c r="Q16" s="32"/>
      <c r="R16" s="33"/>
    </row>
    <row r="18" spans="1:7" ht="13.8" customHeight="1">
      <c r="A18" s="17">
        <v>3</v>
      </c>
      <c r="B18" s="42" t="s">
        <v>29</v>
      </c>
      <c r="C18" s="21"/>
      <c r="D18" s="21"/>
      <c r="E18" s="21"/>
    </row>
    <row r="20" spans="1:7" ht="13.8" customHeight="1">
      <c r="B20" s="22" t="s">
        <v>26</v>
      </c>
      <c r="C20" s="39"/>
      <c r="D20" s="37" t="s">
        <v>40</v>
      </c>
      <c r="E20" s="39"/>
      <c r="F20" s="24" t="s">
        <v>70</v>
      </c>
      <c r="G20" s="39" t="s">
        <v>76</v>
      </c>
    </row>
    <row r="21" spans="1:7" ht="13.8" customHeight="1">
      <c r="B21" s="22" t="s">
        <v>27</v>
      </c>
      <c r="C21" s="40"/>
      <c r="D21" s="37" t="s">
        <v>39</v>
      </c>
      <c r="E21" s="40"/>
      <c r="F21" s="24" t="s">
        <v>71</v>
      </c>
      <c r="G21" s="40"/>
    </row>
    <row r="22" spans="1:7" ht="13.8" customHeight="1">
      <c r="B22" s="37" t="s">
        <v>28</v>
      </c>
      <c r="C22" s="40"/>
      <c r="D22" s="24" t="s">
        <v>42</v>
      </c>
      <c r="E22" s="40">
        <f>8.31446</f>
        <v>8.3144600000000004</v>
      </c>
      <c r="F22" s="37" t="s">
        <v>72</v>
      </c>
      <c r="G22" s="86">
        <f>1</f>
        <v>1</v>
      </c>
    </row>
    <row r="23" spans="1:7" ht="13.8" customHeight="1">
      <c r="B23" s="43" t="s">
        <v>30</v>
      </c>
      <c r="C23" s="40"/>
      <c r="D23" s="37" t="s">
        <v>69</v>
      </c>
      <c r="E23" s="40">
        <v>46.01</v>
      </c>
    </row>
    <row r="24" spans="1:7" ht="13.8" customHeight="1">
      <c r="B24" s="43" t="s">
        <v>31</v>
      </c>
      <c r="C24" s="40"/>
      <c r="D24" s="37" t="s">
        <v>60</v>
      </c>
      <c r="E24" s="41">
        <f>92.01</f>
        <v>92.01</v>
      </c>
    </row>
    <row r="25" spans="1:7" ht="13.8" customHeight="1">
      <c r="B25" s="43" t="s">
        <v>32</v>
      </c>
      <c r="C25" s="41"/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opLeftCell="A157" workbookViewId="0">
      <selection activeCell="C170" sqref="C170"/>
    </sheetView>
  </sheetViews>
  <sheetFormatPr defaultColWidth="8.6640625" defaultRowHeight="12.6" customHeight="1"/>
  <cols>
    <col min="1" max="1" width="8.6640625" style="64"/>
    <col min="2" max="2" width="10.33203125" customWidth="1"/>
    <col min="3" max="3" width="12.109375" bestFit="1" customWidth="1"/>
    <col min="4" max="7" width="8.77734375" bestFit="1" customWidth="1"/>
    <col min="8" max="8" width="10.44140625" bestFit="1" customWidth="1"/>
  </cols>
  <sheetData>
    <row r="2" spans="2:16" ht="12.6" customHeight="1">
      <c r="B2" s="42" t="s">
        <v>64</v>
      </c>
      <c r="C2" s="21"/>
      <c r="D2" s="21"/>
      <c r="E2" s="21"/>
      <c r="F2" s="21"/>
      <c r="G2" s="21"/>
      <c r="H2" s="65" t="str">
        <f>CONCATENATE("1 кал/(г*К) = ",L2," Дж/(кг*К)")</f>
        <v>1 кал/(г*К) = 4186,800000009 Дж/(кг*К)</v>
      </c>
      <c r="I2" s="65"/>
      <c r="J2" s="65"/>
      <c r="K2" s="65"/>
      <c r="L2">
        <v>4186.8000000089996</v>
      </c>
      <c r="N2" s="68" t="s">
        <v>57</v>
      </c>
      <c r="O2" s="66"/>
      <c r="P2" s="66"/>
    </row>
    <row r="4" spans="2:16" ht="12.6" customHeight="1">
      <c r="B4" s="24" t="s">
        <v>20</v>
      </c>
      <c r="C4" s="25">
        <v>0</v>
      </c>
      <c r="D4" s="26">
        <v>10</v>
      </c>
      <c r="E4" s="26">
        <v>20</v>
      </c>
      <c r="F4" s="26">
        <v>21.15</v>
      </c>
      <c r="G4" s="26">
        <v>25</v>
      </c>
      <c r="H4" s="26">
        <v>30</v>
      </c>
      <c r="I4" s="26">
        <v>40</v>
      </c>
      <c r="J4" s="26">
        <v>50</v>
      </c>
      <c r="K4" s="26">
        <v>60</v>
      </c>
      <c r="L4" s="27">
        <v>70</v>
      </c>
    </row>
    <row r="5" spans="2:16" ht="12.6" customHeight="1">
      <c r="B5" s="24" t="s">
        <v>54</v>
      </c>
      <c r="C5" s="28">
        <v>0.35899999999999999</v>
      </c>
      <c r="D5" s="29">
        <v>0.36299999999999999</v>
      </c>
      <c r="E5" s="29">
        <v>0.36699999999999999</v>
      </c>
      <c r="F5" s="29">
        <v>0.36799999999999999</v>
      </c>
      <c r="G5" s="29">
        <v>0.37</v>
      </c>
      <c r="H5" s="29">
        <v>0.372</v>
      </c>
      <c r="I5" s="29">
        <v>0.376</v>
      </c>
      <c r="J5" s="29">
        <v>0.38</v>
      </c>
      <c r="K5" s="29">
        <v>0.38400000000000001</v>
      </c>
      <c r="L5" s="30">
        <v>0.38900000000000001</v>
      </c>
    </row>
    <row r="6" spans="2:16" ht="12.6" customHeight="1">
      <c r="B6" s="24" t="s">
        <v>55</v>
      </c>
      <c r="C6" s="28">
        <v>263</v>
      </c>
      <c r="D6" s="29">
        <v>442</v>
      </c>
      <c r="E6" s="29">
        <v>720</v>
      </c>
      <c r="F6" s="29">
        <v>760</v>
      </c>
      <c r="G6" s="29">
        <v>927</v>
      </c>
      <c r="H6" s="29">
        <v>1134</v>
      </c>
      <c r="I6" s="29">
        <v>1810</v>
      </c>
      <c r="J6" s="29">
        <v>2688</v>
      </c>
      <c r="K6" s="29">
        <v>3981</v>
      </c>
      <c r="L6" s="30">
        <v>5584</v>
      </c>
    </row>
    <row r="7" spans="2:16" ht="12.6" customHeight="1">
      <c r="B7" s="37" t="s">
        <v>56</v>
      </c>
      <c r="C7" s="28">
        <v>0.33900000000000002</v>
      </c>
      <c r="D7" s="29">
        <v>0.32900000000000001</v>
      </c>
      <c r="E7" s="29">
        <v>0.318</v>
      </c>
      <c r="F7" s="29">
        <v>0.316</v>
      </c>
      <c r="G7" s="29">
        <v>0.312</v>
      </c>
      <c r="H7" s="29">
        <v>0.30599999999999999</v>
      </c>
      <c r="I7" s="29">
        <v>0.29299999999999998</v>
      </c>
      <c r="J7" s="29">
        <v>0.27900000000000003</v>
      </c>
      <c r="K7" s="29">
        <v>0.26100000000000001</v>
      </c>
      <c r="L7" s="30">
        <v>0.23599999999999999</v>
      </c>
    </row>
    <row r="8" spans="2:16" ht="12.6" customHeight="1">
      <c r="B8" s="37" t="s">
        <v>58</v>
      </c>
      <c r="C8" s="31">
        <v>1.488</v>
      </c>
      <c r="D8" s="32">
        <v>1.4670000000000001</v>
      </c>
      <c r="E8" s="32">
        <v>1.4450000000000001</v>
      </c>
      <c r="F8" s="32">
        <v>1.4419999999999999</v>
      </c>
      <c r="G8" s="32">
        <v>1.4339999999999999</v>
      </c>
      <c r="H8" s="32">
        <v>1.4239999999999999</v>
      </c>
      <c r="I8" s="32">
        <v>1.4</v>
      </c>
      <c r="J8" s="32">
        <v>1.375</v>
      </c>
      <c r="K8" s="32">
        <v>1.3480000000000001</v>
      </c>
      <c r="L8" s="33">
        <v>1.32</v>
      </c>
    </row>
    <row r="10" spans="2:16" ht="12.6" customHeight="1">
      <c r="B10" s="24" t="s">
        <v>61</v>
      </c>
      <c r="C10" s="25">
        <f>C4+273.15</f>
        <v>273.14999999999998</v>
      </c>
      <c r="D10" s="26">
        <f t="shared" ref="D10:L10" si="0">D4+273.15</f>
        <v>283.14999999999998</v>
      </c>
      <c r="E10" s="26">
        <f t="shared" si="0"/>
        <v>293.14999999999998</v>
      </c>
      <c r="F10" s="26">
        <f t="shared" si="0"/>
        <v>294.29999999999995</v>
      </c>
      <c r="G10" s="26">
        <f t="shared" si="0"/>
        <v>298.14999999999998</v>
      </c>
      <c r="H10" s="26">
        <f t="shared" si="0"/>
        <v>303.14999999999998</v>
      </c>
      <c r="I10" s="26">
        <f t="shared" si="0"/>
        <v>313.14999999999998</v>
      </c>
      <c r="J10" s="26">
        <f t="shared" si="0"/>
        <v>323.14999999999998</v>
      </c>
      <c r="K10" s="26">
        <f t="shared" si="0"/>
        <v>333.15</v>
      </c>
      <c r="L10" s="27">
        <f t="shared" si="0"/>
        <v>343.15</v>
      </c>
    </row>
    <row r="11" spans="2:16" ht="12.6" customHeight="1">
      <c r="B11" s="24" t="s">
        <v>62</v>
      </c>
      <c r="C11" s="69">
        <f>C5*Константы!$B$5*Лаб.Журнал!$E$24/1000</f>
        <v>138.29666101200002</v>
      </c>
      <c r="D11" s="70">
        <f>D5*Константы!$B$5*Лаб.Журнал!$E$24/1000</f>
        <v>139.837570884</v>
      </c>
      <c r="E11" s="70">
        <f>E5*Константы!$B$5*Лаб.Журнал!$E$24/1000</f>
        <v>141.37848075600004</v>
      </c>
      <c r="F11" s="70">
        <f>F5*Константы!$B$5*Лаб.Журнал!$E$24/1000</f>
        <v>141.763708224</v>
      </c>
      <c r="G11" s="70">
        <f>G5*Константы!$B$5*Лаб.Журнал!$E$24/1000</f>
        <v>142.53416315999999</v>
      </c>
      <c r="H11" s="70">
        <f>H5*Константы!$B$5*Лаб.Журнал!$E$24/1000</f>
        <v>143.30461809600001</v>
      </c>
      <c r="I11" s="70">
        <f>I5*Константы!$B$5*Лаб.Журнал!$E$24/1000</f>
        <v>144.845527968</v>
      </c>
      <c r="J11" s="70">
        <f>J5*Константы!$B$5*Лаб.Журнал!$E$24/1000</f>
        <v>146.38643784000004</v>
      </c>
      <c r="K11" s="70">
        <f>K5*Константы!$B$5*Лаб.Журнал!$E$24/1000</f>
        <v>147.92734771200003</v>
      </c>
      <c r="L11" s="71">
        <f>L5*Константы!$B$5*Лаб.Журнал!$E$24/1000</f>
        <v>149.85348505200002</v>
      </c>
    </row>
    <row r="13" spans="2:16" ht="12.6" customHeight="1">
      <c r="K13" t="s">
        <v>74</v>
      </c>
      <c r="L13">
        <f>МНК!B37</f>
        <v>0.16368956918792299</v>
      </c>
    </row>
    <row r="14" spans="2:16" ht="12.6" customHeight="1">
      <c r="K14" t="s">
        <v>75</v>
      </c>
      <c r="L14">
        <f>МНК!B38</f>
        <v>93.562258947654755</v>
      </c>
    </row>
    <row r="31" spans="2:11" ht="12.6" customHeight="1">
      <c r="B31" s="42" t="s">
        <v>63</v>
      </c>
      <c r="C31" s="52"/>
      <c r="D31" s="52"/>
      <c r="E31" s="52"/>
      <c r="F31" s="52"/>
      <c r="G31" s="52"/>
      <c r="H31" s="65" t="s">
        <v>65</v>
      </c>
      <c r="I31" s="65"/>
      <c r="J31" s="65"/>
      <c r="K31" s="65"/>
    </row>
    <row r="33" spans="2:12" ht="12.6" customHeight="1">
      <c r="B33" s="24" t="s">
        <v>20</v>
      </c>
      <c r="C33" s="25">
        <v>0</v>
      </c>
      <c r="D33" s="26">
        <v>10</v>
      </c>
      <c r="E33" s="26">
        <v>20</v>
      </c>
      <c r="F33" s="26">
        <v>30</v>
      </c>
      <c r="G33" s="26">
        <v>40</v>
      </c>
      <c r="H33" s="26">
        <v>50</v>
      </c>
      <c r="I33" s="26">
        <v>60</v>
      </c>
      <c r="J33" s="26">
        <v>70</v>
      </c>
      <c r="K33" s="26">
        <v>80</v>
      </c>
      <c r="L33" s="27">
        <v>90</v>
      </c>
    </row>
    <row r="34" spans="2:12" ht="12.6" customHeight="1">
      <c r="B34" s="24" t="s">
        <v>54</v>
      </c>
      <c r="C34" s="31">
        <f>Константы!$C$11+Константы!$C$12*'Обратная задача'!C36+Константы!$C$13/'Обратная задача'!C36/'Обратная задача'!C36</f>
        <v>0.31684242913504157</v>
      </c>
      <c r="D34" s="32">
        <f>Константы!$C$11+Константы!$C$12*'Обратная задача'!D36+Константы!$C$13/'Обратная задача'!D36/'Обратная задача'!D36</f>
        <v>0.31287422828627753</v>
      </c>
      <c r="E34" s="32">
        <f>Константы!$C$11+Константы!$C$12*'Обратная задача'!E36+Константы!$C$13/'Обратная задача'!E36/'Обратная задача'!E36</f>
        <v>0.309365299401271</v>
      </c>
      <c r="F34" s="32">
        <f>Константы!$C$11+Константы!$C$12*'Обратная задача'!F36+Константы!$C$13/'Обратная задача'!F36/'Обратная задача'!F36</f>
        <v>0.30625605379374854</v>
      </c>
      <c r="G34" s="32">
        <f>Константы!$C$11+Константы!$C$12*'Обратная задача'!G36+Константы!$C$13/'Обратная задача'!G36/'Обратная задача'!G36</f>
        <v>0.30349626262429946</v>
      </c>
      <c r="H34" s="32">
        <f>Константы!$C$11+Константы!$C$12*'Обратная задача'!H36+Константы!$C$13/'Обратная задача'!H36/'Обратная задача'!H36</f>
        <v>0.30104334653812925</v>
      </c>
      <c r="I34" s="32">
        <f>Константы!$C$11+Константы!$C$12*'Обратная задача'!I36+Константы!$C$13/'Обратная задача'!I36/'Обратная задача'!I36</f>
        <v>0.2988610191318537</v>
      </c>
      <c r="J34" s="32">
        <f>Константы!$C$11+Константы!$C$12*'Обратная задача'!J36+Константы!$C$13/'Обратная задача'!J36/'Обратная задача'!J36</f>
        <v>0.2969182030014102</v>
      </c>
      <c r="K34" s="32">
        <f>Константы!$C$11+Константы!$C$12*'Обратная задача'!K36+Константы!$C$13/'Обратная задача'!K36/'Обратная задача'!K36</f>
        <v>0.29518815752482491</v>
      </c>
      <c r="L34" s="33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4" t="s">
        <v>61</v>
      </c>
      <c r="C36" s="25">
        <f>C33+273.15</f>
        <v>273.14999999999998</v>
      </c>
      <c r="D36" s="26">
        <f t="shared" ref="D36:L36" si="1">D33+273.15</f>
        <v>283.14999999999998</v>
      </c>
      <c r="E36" s="26">
        <f t="shared" si="1"/>
        <v>293.14999999999998</v>
      </c>
      <c r="F36" s="26">
        <f t="shared" si="1"/>
        <v>303.14999999999998</v>
      </c>
      <c r="G36" s="26">
        <f t="shared" si="1"/>
        <v>313.14999999999998</v>
      </c>
      <c r="H36" s="26">
        <f t="shared" si="1"/>
        <v>323.14999999999998</v>
      </c>
      <c r="I36" s="26">
        <f t="shared" si="1"/>
        <v>333.15</v>
      </c>
      <c r="J36" s="26">
        <f t="shared" si="1"/>
        <v>343.15</v>
      </c>
      <c r="K36" s="26">
        <f t="shared" si="1"/>
        <v>353.15</v>
      </c>
      <c r="L36" s="27">
        <f t="shared" si="1"/>
        <v>363.15</v>
      </c>
    </row>
    <row r="37" spans="2:12" ht="12.6" customHeight="1">
      <c r="B37" s="24" t="s">
        <v>62</v>
      </c>
      <c r="C37" s="31">
        <f>C34*Лаб.Журнал!$E$23*Константы!$B$5/1000</f>
        <v>61.034836144742258</v>
      </c>
      <c r="D37" s="32">
        <f>D34*Лаб.Журнал!$E$23*Константы!$B$5/1000</f>
        <v>60.270423091683284</v>
      </c>
      <c r="E37" s="32">
        <f>E34*Лаб.Журнал!$E$23*Константы!$B$5/1000</f>
        <v>59.594481740884433</v>
      </c>
      <c r="F37" s="32">
        <f>F34*Лаб.Журнал!$E$23*Константы!$B$5/1000</f>
        <v>58.995533245548891</v>
      </c>
      <c r="G37" s="32">
        <f>G34*Лаб.Журнал!$E$23*Константы!$B$5/1000</f>
        <v>58.463901789872743</v>
      </c>
      <c r="H37" s="32">
        <f>H34*Лаб.Журнал!$E$23*Константы!$B$5/1000</f>
        <v>57.99138511398148</v>
      </c>
      <c r="I37" s="32">
        <f>I34*Лаб.Журнал!$E$23*Константы!$B$5/1000</f>
        <v>57.570993198606288</v>
      </c>
      <c r="J37" s="32">
        <f>J34*Лаб.Журнал!$E$23*Константы!$B$5/1000</f>
        <v>57.196739458333255</v>
      </c>
      <c r="K37" s="32">
        <f>K34*Лаб.Журнал!$E$23*Константы!$B$5/1000</f>
        <v>56.86347272232635</v>
      </c>
      <c r="L37" s="33">
        <f>L34*Лаб.Журнал!$E$23*Константы!$B$5/1000</f>
        <v>56.566741144814038</v>
      </c>
    </row>
    <row r="40" spans="2:12" ht="12.6" customHeight="1">
      <c r="K40" t="s">
        <v>74</v>
      </c>
      <c r="L40">
        <f>МНК!B50</f>
        <v>-4.8967488372323564E-2</v>
      </c>
    </row>
    <row r="41" spans="2:12" ht="12.6" customHeight="1">
      <c r="K41" t="s">
        <v>75</v>
      </c>
      <c r="L41">
        <f>МНК!B51</f>
        <v>74.033857190734039</v>
      </c>
    </row>
    <row r="58" spans="2:9" ht="12.6" customHeight="1">
      <c r="B58" s="42" t="s">
        <v>77</v>
      </c>
      <c r="C58" s="21"/>
      <c r="D58" s="21"/>
      <c r="E58" s="21"/>
      <c r="F58" s="21"/>
      <c r="G58" s="21"/>
      <c r="H58" s="65" t="s">
        <v>78</v>
      </c>
      <c r="I58" s="65"/>
    </row>
    <row r="60" spans="2:9" ht="12.6" customHeight="1">
      <c r="B60" s="24" t="s">
        <v>74</v>
      </c>
      <c r="C60" s="39">
        <f>2*L40-L13</f>
        <v>-0.26162454593257012</v>
      </c>
    </row>
    <row r="61" spans="2:9" ht="12.6" customHeight="1">
      <c r="B61" s="24" t="s">
        <v>75</v>
      </c>
      <c r="C61" s="41">
        <f>2*L41-L14</f>
        <v>54.505455433813324</v>
      </c>
    </row>
    <row r="64" spans="2:9" ht="12.6" customHeight="1">
      <c r="B64" s="42" t="s">
        <v>79</v>
      </c>
      <c r="C64" s="21"/>
      <c r="D64" s="21"/>
      <c r="E64" s="21"/>
      <c r="F64" s="21"/>
      <c r="G64" s="21"/>
    </row>
    <row r="66" spans="2:13" ht="12.6" customHeight="1">
      <c r="C66" t="s">
        <v>80</v>
      </c>
      <c r="D66" t="s">
        <v>81</v>
      </c>
      <c r="E66" t="s">
        <v>88</v>
      </c>
    </row>
    <row r="67" spans="2:13" ht="12.6" customHeight="1">
      <c r="B67" s="37" t="s">
        <v>82</v>
      </c>
      <c r="C67" s="25">
        <v>11112</v>
      </c>
      <c r="D67" s="27">
        <v>34192</v>
      </c>
      <c r="E67">
        <f>2*D67-C67</f>
        <v>57272</v>
      </c>
    </row>
    <row r="68" spans="2:13" ht="12.6" customHeight="1">
      <c r="B68" s="24" t="s">
        <v>89</v>
      </c>
      <c r="C68" s="28">
        <v>304.35000000000002</v>
      </c>
      <c r="D68" s="30">
        <v>240.06</v>
      </c>
      <c r="E68">
        <f t="shared" ref="E68:E69" si="2">2*D68-C68</f>
        <v>175.76999999999998</v>
      </c>
    </row>
    <row r="69" spans="2:13" ht="12.6" customHeight="1">
      <c r="B69" s="24" t="s">
        <v>62</v>
      </c>
      <c r="C69" s="31">
        <v>79.16</v>
      </c>
      <c r="D69" s="33">
        <v>37.18</v>
      </c>
      <c r="E69">
        <f t="shared" si="2"/>
        <v>-4.7999999999999972</v>
      </c>
    </row>
    <row r="71" spans="2:13" ht="12.6" customHeight="1">
      <c r="B71" s="42" t="s">
        <v>91</v>
      </c>
      <c r="C71" s="52"/>
      <c r="D71" s="52"/>
      <c r="E71" s="52"/>
      <c r="F71" s="52"/>
      <c r="G71" s="52"/>
      <c r="H71" s="52"/>
      <c r="I71" s="52"/>
    </row>
    <row r="73" spans="2:13" ht="12.6" customHeight="1">
      <c r="C73" s="72" t="s">
        <v>83</v>
      </c>
      <c r="D73">
        <f t="shared" ref="D73:M73" si="3">C36</f>
        <v>273.14999999999998</v>
      </c>
      <c r="E73">
        <f t="shared" si="3"/>
        <v>283.14999999999998</v>
      </c>
      <c r="F73">
        <f t="shared" si="3"/>
        <v>293.14999999999998</v>
      </c>
      <c r="G73">
        <f t="shared" si="3"/>
        <v>303.14999999999998</v>
      </c>
      <c r="H73">
        <f t="shared" si="3"/>
        <v>313.14999999999998</v>
      </c>
      <c r="I73">
        <f t="shared" si="3"/>
        <v>323.14999999999998</v>
      </c>
      <c r="J73">
        <f t="shared" si="3"/>
        <v>333.15</v>
      </c>
      <c r="K73">
        <f t="shared" si="3"/>
        <v>343.15</v>
      </c>
      <c r="L73">
        <f t="shared" si="3"/>
        <v>353.15</v>
      </c>
      <c r="M73">
        <f t="shared" si="3"/>
        <v>363.15</v>
      </c>
    </row>
    <row r="74" spans="2:13" ht="12.6" customHeight="1">
      <c r="B74" t="s">
        <v>85</v>
      </c>
      <c r="C74" s="24" t="s">
        <v>84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86</v>
      </c>
      <c r="C75" s="24" t="s">
        <v>84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87</v>
      </c>
      <c r="C76" s="24" t="s">
        <v>84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92</v>
      </c>
      <c r="C77" s="24" t="s">
        <v>84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42" t="s">
        <v>106</v>
      </c>
      <c r="C132" s="52"/>
      <c r="D132" s="52"/>
      <c r="E132" s="52"/>
      <c r="F132" s="52"/>
      <c r="G132" s="52"/>
      <c r="H132" s="52"/>
    </row>
    <row r="134" spans="2:12" ht="12.6" customHeight="1">
      <c r="B134" s="24" t="s">
        <v>33</v>
      </c>
      <c r="C134">
        <f t="shared" ref="C134:L134" si="4">C36</f>
        <v>273.14999999999998</v>
      </c>
      <c r="D134">
        <f t="shared" si="4"/>
        <v>283.14999999999998</v>
      </c>
      <c r="E134">
        <f t="shared" si="4"/>
        <v>293.14999999999998</v>
      </c>
      <c r="F134">
        <f t="shared" si="4"/>
        <v>303.14999999999998</v>
      </c>
      <c r="G134">
        <f t="shared" si="4"/>
        <v>313.14999999999998</v>
      </c>
      <c r="H134">
        <f t="shared" si="4"/>
        <v>323.14999999999998</v>
      </c>
      <c r="I134">
        <f t="shared" si="4"/>
        <v>333.15</v>
      </c>
      <c r="J134">
        <f t="shared" si="4"/>
        <v>343.15</v>
      </c>
      <c r="K134">
        <f t="shared" si="4"/>
        <v>353.15</v>
      </c>
      <c r="L134">
        <f t="shared" si="4"/>
        <v>363.15</v>
      </c>
    </row>
    <row r="135" spans="2:12" ht="12.6" customHeight="1">
      <c r="B135" s="22" t="s">
        <v>105</v>
      </c>
      <c r="C135">
        <f>EXP(D77)/C134/Лаб.Журнал!$E$22*100000</f>
        <v>0.69818168662226499</v>
      </c>
      <c r="D135">
        <f>EXP(E77)/D134/Лаб.Журнал!$E$22*100000</f>
        <v>1.7139359652543875</v>
      </c>
      <c r="E135">
        <f>EXP(F77)/E134/Лаб.Журнал!$E$22*100000</f>
        <v>3.8755632593069884</v>
      </c>
      <c r="F135">
        <f>EXP(G77)/F134/Лаб.Журнал!$E$22*100000</f>
        <v>8.1362028016547665</v>
      </c>
      <c r="G135">
        <f>EXP(H77)/G134/Лаб.Журнал!$E$22*100000</f>
        <v>15.967468762854176</v>
      </c>
      <c r="H135">
        <f>EXP(I77)/H134/Лаб.Журнал!$E$22*100000</f>
        <v>29.469834185020574</v>
      </c>
      <c r="I135">
        <f>EXP(J77)/I134/Лаб.Журнал!$E$22*100000</f>
        <v>51.419045279040603</v>
      </c>
      <c r="J135">
        <f>EXP(K77)/J134/Лаб.Журнал!$E$22*100000</f>
        <v>85.207491822891939</v>
      </c>
      <c r="K135">
        <f>EXP(L77)/K134/Лаб.Журнал!$E$22*100000</f>
        <v>134.65013581882795</v>
      </c>
      <c r="L135">
        <f>EXP(M77)/L134/Лаб.Журнал!$E$22*100000</f>
        <v>203.6464705393376</v>
      </c>
    </row>
    <row r="162" spans="2:8" ht="12.6" customHeight="1">
      <c r="B162" s="42" t="s">
        <v>108</v>
      </c>
      <c r="C162" s="21"/>
      <c r="D162" s="21"/>
      <c r="E162" s="21"/>
      <c r="F162" s="21"/>
    </row>
    <row r="164" spans="2:8" ht="12.6" customHeight="1">
      <c r="B164" s="13" t="s">
        <v>104</v>
      </c>
      <c r="C164" s="13" t="s">
        <v>101</v>
      </c>
      <c r="D164" s="13" t="s">
        <v>96</v>
      </c>
      <c r="E164" s="13" t="s">
        <v>97</v>
      </c>
      <c r="F164" s="13" t="s">
        <v>98</v>
      </c>
      <c r="G164" s="13" t="s">
        <v>99</v>
      </c>
      <c r="H164" s="13" t="s">
        <v>100</v>
      </c>
    </row>
    <row r="165" spans="2:8" ht="12.6" customHeight="1">
      <c r="B165" s="22" t="s">
        <v>94</v>
      </c>
      <c r="C165" s="78">
        <f t="shared" ref="C165:I165" si="5">$E$135</f>
        <v>3.8755632593069884</v>
      </c>
      <c r="D165" s="75">
        <f>$E$135</f>
        <v>3.8755632593069884</v>
      </c>
      <c r="E165" s="76">
        <f t="shared" si="5"/>
        <v>3.8755632593069884</v>
      </c>
      <c r="F165" s="76">
        <f t="shared" si="5"/>
        <v>3.8755632593069884</v>
      </c>
      <c r="G165" s="76">
        <f t="shared" si="5"/>
        <v>3.8755632593069884</v>
      </c>
      <c r="H165" s="77">
        <f t="shared" si="5"/>
        <v>3.8755632593069884</v>
      </c>
    </row>
    <row r="166" spans="2:8" ht="12.6" customHeight="1">
      <c r="B166" s="22" t="s">
        <v>103</v>
      </c>
      <c r="C166" s="81">
        <v>382</v>
      </c>
      <c r="D166" s="79">
        <v>13.3</v>
      </c>
      <c r="E166" s="14">
        <v>8</v>
      </c>
      <c r="F166" s="14">
        <v>5.5</v>
      </c>
      <c r="G166" s="14">
        <v>4.8</v>
      </c>
      <c r="H166" s="80">
        <v>2.2000000000000002</v>
      </c>
    </row>
    <row r="167" spans="2:8" ht="12.6" customHeight="1">
      <c r="B167" s="22" t="s">
        <v>102</v>
      </c>
      <c r="C167" s="81">
        <f>C166</f>
        <v>382</v>
      </c>
      <c r="D167" s="79">
        <f>D166</f>
        <v>13.3</v>
      </c>
      <c r="E167" s="14">
        <f t="shared" ref="E167:H167" si="6">E166</f>
        <v>8</v>
      </c>
      <c r="F167" s="14">
        <f t="shared" si="6"/>
        <v>5.5</v>
      </c>
      <c r="G167" s="14">
        <f t="shared" si="6"/>
        <v>4.8</v>
      </c>
      <c r="H167" s="80">
        <f t="shared" si="6"/>
        <v>2.2000000000000002</v>
      </c>
    </row>
    <row r="168" spans="2:8" ht="12.6" customHeight="1">
      <c r="B168" s="22" t="s">
        <v>95</v>
      </c>
      <c r="C168" s="85">
        <f>C165*C167*C167/C166</f>
        <v>1480.4651650552698</v>
      </c>
      <c r="D168" s="82">
        <f>D165*D167*D167/D166</f>
        <v>51.544991348782943</v>
      </c>
      <c r="E168" s="83">
        <f>E165*E167*E167/E166</f>
        <v>31.004506074455907</v>
      </c>
      <c r="F168" s="83">
        <f>F165*F167*F167/F166</f>
        <v>21.315597926188435</v>
      </c>
      <c r="G168" s="83">
        <f>G165*G167*G167/G166</f>
        <v>18.602703644673543</v>
      </c>
      <c r="H168" s="84">
        <f>H165*H167*H167/H166</f>
        <v>8.5262391704753746</v>
      </c>
    </row>
  </sheetData>
  <mergeCells count="10">
    <mergeCell ref="B132:H132"/>
    <mergeCell ref="B162:F162"/>
    <mergeCell ref="B58:G58"/>
    <mergeCell ref="H58:I58"/>
    <mergeCell ref="B64:G64"/>
    <mergeCell ref="B71:I71"/>
    <mergeCell ref="B2:G2"/>
    <mergeCell ref="H2:K2"/>
    <mergeCell ref="B31:G31"/>
    <mergeCell ref="H31:K31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tabSelected="1" workbookViewId="0">
      <selection activeCell="B6" sqref="B6"/>
    </sheetView>
  </sheetViews>
  <sheetFormatPr defaultRowHeight="14.4"/>
  <cols>
    <col min="1" max="1" width="8.88671875" style="63"/>
    <col min="3" max="3" width="10" bestFit="1" customWidth="1"/>
  </cols>
  <sheetData>
    <row r="2" spans="2:6">
      <c r="B2" s="21" t="s">
        <v>59</v>
      </c>
      <c r="C2" s="21"/>
      <c r="D2" s="21"/>
      <c r="E2" s="21"/>
      <c r="F2" s="21"/>
    </row>
    <row r="4" spans="2:6">
      <c r="B4">
        <v>418.7</v>
      </c>
      <c r="C4" s="65" t="str">
        <f>CONCATENATE("кал/(см·с·К) = ",B4," Вт/(м·К)")</f>
        <v>кал/(см·с·К) = 418,7 Вт/(м·К)</v>
      </c>
      <c r="D4" s="65"/>
      <c r="E4" s="65"/>
      <c r="F4" s="65"/>
    </row>
    <row r="5" spans="2:6">
      <c r="B5" s="67">
        <v>4186.8</v>
      </c>
      <c r="C5" s="65" t="str">
        <f>CONCATENATE("кал/(г·К) = ",B5," Дж/(кг·К)")</f>
        <v>кал/(г·К) = 4186,8 Дж/(кг·К)</v>
      </c>
      <c r="D5" s="65"/>
      <c r="E5" s="65"/>
      <c r="F5" s="65"/>
    </row>
    <row r="6" spans="2:6">
      <c r="B6" s="67">
        <v>133.322</v>
      </c>
      <c r="C6" s="65" t="str">
        <f>CONCATENATE("мм рт. ст. = ",B6," Па")</f>
        <v>мм рт. ст. = 133,322 Па</v>
      </c>
      <c r="D6" s="65"/>
      <c r="E6" s="65"/>
      <c r="F6" s="65"/>
    </row>
    <row r="9" spans="2:6">
      <c r="B9" s="21" t="s">
        <v>66</v>
      </c>
      <c r="C9" s="21"/>
      <c r="D9" s="21"/>
      <c r="E9" s="21"/>
      <c r="F9" s="21"/>
    </row>
    <row r="11" spans="2:6">
      <c r="B11" t="s">
        <v>8</v>
      </c>
      <c r="C11">
        <v>0.23469999999999999</v>
      </c>
    </row>
    <row r="12" spans="2:6">
      <c r="B12" t="s">
        <v>67</v>
      </c>
      <c r="C12">
        <f>5.98/100000</f>
        <v>5.9800000000000003E-5</v>
      </c>
    </row>
    <row r="13" spans="2:6">
      <c r="B13" t="s">
        <v>68</v>
      </c>
      <c r="C13">
        <f>4.91*10^3</f>
        <v>4910</v>
      </c>
    </row>
    <row r="15" spans="2:6">
      <c r="B15">
        <v>298.14999999999998</v>
      </c>
      <c r="C15" t="s">
        <v>90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</vt:lpstr>
      <vt:lpstr>МНК</vt:lpstr>
      <vt:lpstr>Лаб.Журнал</vt:lpstr>
      <vt:lpstr>Обратная задача</vt:lpstr>
      <vt:lpstr>Константы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2015-04-19T03:12:08Z</dcterms:modified>
</cp:coreProperties>
</file>