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19416" windowHeight="9792" activeTab="3"/>
  </bookViews>
  <sheets>
    <sheet name="Отчет" sheetId="2" r:id="rId1"/>
    <sheet name="МНК" sheetId="1" r:id="rId2"/>
    <sheet name="Лаб.Журнал" sheetId="6" r:id="rId3"/>
    <sheet name="Обратная задача" sheetId="7" r:id="rId4"/>
    <sheet name="Константы" sheetId="8" r:id="rId5"/>
    <sheet name="погрешности" sheetId="9" r:id="rId6"/>
  </sheets>
  <calcPr calcId="125725"/>
</workbook>
</file>

<file path=xl/calcChain.xml><?xml version="1.0" encoding="utf-8"?>
<calcChain xmlns="http://schemas.openxmlformats.org/spreadsheetml/2006/main">
  <c r="Q150" i="2"/>
  <c r="R150"/>
  <c r="S150"/>
  <c r="T150"/>
  <c r="D136" i="7"/>
  <c r="E136"/>
  <c r="F136"/>
  <c r="G136"/>
  <c r="H136"/>
  <c r="I136"/>
  <c r="J136"/>
  <c r="K136"/>
  <c r="L136"/>
  <c r="C136"/>
  <c r="D135"/>
  <c r="E135"/>
  <c r="F135"/>
  <c r="G135"/>
  <c r="H135"/>
  <c r="I135"/>
  <c r="J135"/>
  <c r="K135"/>
  <c r="L135"/>
  <c r="C135"/>
  <c r="C184" i="2"/>
  <c r="D14" i="6"/>
  <c r="E14"/>
  <c r="E12" i="2" s="1"/>
  <c r="E49" s="1"/>
  <c r="F14" i="6"/>
  <c r="G14"/>
  <c r="H14"/>
  <c r="I14"/>
  <c r="I12" i="2" s="1"/>
  <c r="I49" s="1"/>
  <c r="J14" i="6"/>
  <c r="K14"/>
  <c r="K12" i="2" s="1"/>
  <c r="K49" s="1"/>
  <c r="L14" i="6"/>
  <c r="M14"/>
  <c r="M12" i="2" s="1"/>
  <c r="M49" s="1"/>
  <c r="N14" i="6"/>
  <c r="O14"/>
  <c r="P14"/>
  <c r="Q14"/>
  <c r="Q12" i="2" s="1"/>
  <c r="Q49" s="1"/>
  <c r="R14" i="6"/>
  <c r="D7"/>
  <c r="E7"/>
  <c r="F7"/>
  <c r="G7"/>
  <c r="G7" i="2" s="1"/>
  <c r="G44" s="1"/>
  <c r="H7" i="6"/>
  <c r="I7"/>
  <c r="J7"/>
  <c r="J7" i="2" s="1"/>
  <c r="J44" s="1"/>
  <c r="K7" i="6"/>
  <c r="K7" i="2" s="1"/>
  <c r="K44" s="1"/>
  <c r="L7" i="6"/>
  <c r="L7" i="2" s="1"/>
  <c r="L44" s="1"/>
  <c r="M7" i="6"/>
  <c r="N7"/>
  <c r="O7"/>
  <c r="O7" i="2" s="1"/>
  <c r="O44" s="1"/>
  <c r="P7" i="6"/>
  <c r="Q7"/>
  <c r="R7"/>
  <c r="C14"/>
  <c r="C7"/>
  <c r="C7" i="2" s="1"/>
  <c r="C44" s="1"/>
  <c r="O12"/>
  <c r="O49" s="1"/>
  <c r="C12"/>
  <c r="C49" s="1"/>
  <c r="E7"/>
  <c r="E44" s="1"/>
  <c r="Q7"/>
  <c r="Q44" s="1"/>
  <c r="H12"/>
  <c r="H49" s="1"/>
  <c r="C13" i="9"/>
  <c r="C13" i="6"/>
  <c r="E13"/>
  <c r="E11" i="2" s="1"/>
  <c r="E48" s="1"/>
  <c r="U78" s="1"/>
  <c r="F13" i="6"/>
  <c r="G13"/>
  <c r="G11" i="2" s="1"/>
  <c r="G48" s="1"/>
  <c r="W78" s="1"/>
  <c r="H13" i="6"/>
  <c r="H11" i="2" s="1"/>
  <c r="H48" s="1"/>
  <c r="X78" s="1"/>
  <c r="I13" i="6"/>
  <c r="I11" i="2" s="1"/>
  <c r="I48" s="1"/>
  <c r="Y78" s="1"/>
  <c r="J13" i="6"/>
  <c r="J11" i="2" s="1"/>
  <c r="J48" s="1"/>
  <c r="Z78" s="1"/>
  <c r="K13" i="6"/>
  <c r="K11" i="2" s="1"/>
  <c r="K48" s="1"/>
  <c r="AA78" s="1"/>
  <c r="L13" i="6"/>
  <c r="M13"/>
  <c r="M11" i="2" s="1"/>
  <c r="M48" s="1"/>
  <c r="AC78" s="1"/>
  <c r="N13" i="6"/>
  <c r="O13"/>
  <c r="O11" i="2" s="1"/>
  <c r="O48" s="1"/>
  <c r="AE78" s="1"/>
  <c r="P13" i="6"/>
  <c r="Q13"/>
  <c r="Q11" i="2" s="1"/>
  <c r="Q48" s="1"/>
  <c r="AG78" s="1"/>
  <c r="R13" i="6"/>
  <c r="R11" i="2" s="1"/>
  <c r="R48" s="1"/>
  <c r="AH78" s="1"/>
  <c r="D13" i="6"/>
  <c r="F12" i="2"/>
  <c r="F49" s="1"/>
  <c r="R12"/>
  <c r="R49" s="1"/>
  <c r="I7"/>
  <c r="I44" s="1"/>
  <c r="M7"/>
  <c r="M44" s="1"/>
  <c r="C12" i="9"/>
  <c r="C11"/>
  <c r="C10"/>
  <c r="B9"/>
  <c r="B13"/>
  <c r="B10"/>
  <c r="B11"/>
  <c r="B12"/>
  <c r="C167" i="7"/>
  <c r="H167"/>
  <c r="G167"/>
  <c r="F167"/>
  <c r="E167"/>
  <c r="D167"/>
  <c r="C134"/>
  <c r="D134"/>
  <c r="E134"/>
  <c r="F134"/>
  <c r="G134"/>
  <c r="H134"/>
  <c r="I134"/>
  <c r="J134"/>
  <c r="K134"/>
  <c r="L134"/>
  <c r="H183" i="2"/>
  <c r="D184"/>
  <c r="E184"/>
  <c r="F184"/>
  <c r="G184"/>
  <c r="H184"/>
  <c r="D183"/>
  <c r="E183"/>
  <c r="F183"/>
  <c r="G183"/>
  <c r="C183"/>
  <c r="B150"/>
  <c r="E75" i="7"/>
  <c r="F75"/>
  <c r="G75"/>
  <c r="H75"/>
  <c r="I75"/>
  <c r="J75"/>
  <c r="K75"/>
  <c r="L75"/>
  <c r="M75"/>
  <c r="D75"/>
  <c r="E74"/>
  <c r="F74"/>
  <c r="G74"/>
  <c r="H74"/>
  <c r="I74"/>
  <c r="J74"/>
  <c r="K74"/>
  <c r="L74"/>
  <c r="M74"/>
  <c r="D74"/>
  <c r="E68"/>
  <c r="E69"/>
  <c r="E67"/>
  <c r="D73"/>
  <c r="E73"/>
  <c r="F73"/>
  <c r="G73"/>
  <c r="H73"/>
  <c r="I73"/>
  <c r="J73"/>
  <c r="K73"/>
  <c r="L73"/>
  <c r="M73"/>
  <c r="A43" i="1"/>
  <c r="B43"/>
  <c r="C43"/>
  <c r="D43"/>
  <c r="D47" s="1"/>
  <c r="E43"/>
  <c r="F43"/>
  <c r="G43"/>
  <c r="H43"/>
  <c r="I43"/>
  <c r="J43"/>
  <c r="K43"/>
  <c r="A44"/>
  <c r="B44"/>
  <c r="C44"/>
  <c r="C46" s="1"/>
  <c r="D44"/>
  <c r="E44"/>
  <c r="F44"/>
  <c r="G44"/>
  <c r="G46" s="1"/>
  <c r="H44"/>
  <c r="I44"/>
  <c r="J44"/>
  <c r="J46" s="1"/>
  <c r="K44"/>
  <c r="K46" s="1"/>
  <c r="H46"/>
  <c r="D46"/>
  <c r="G22" i="6"/>
  <c r="D37" i="7"/>
  <c r="E37"/>
  <c r="F37"/>
  <c r="G37"/>
  <c r="H37"/>
  <c r="I37"/>
  <c r="J37"/>
  <c r="K37"/>
  <c r="L37"/>
  <c r="C13" i="8"/>
  <c r="E34" i="7" s="1"/>
  <c r="F34"/>
  <c r="J34"/>
  <c r="D36"/>
  <c r="E36"/>
  <c r="F36"/>
  <c r="G36"/>
  <c r="H36"/>
  <c r="I36"/>
  <c r="J36"/>
  <c r="K36"/>
  <c r="L36"/>
  <c r="C36"/>
  <c r="C12" i="8"/>
  <c r="A30" i="1"/>
  <c r="B30"/>
  <c r="C30"/>
  <c r="C32" s="1"/>
  <c r="D30"/>
  <c r="D34" s="1"/>
  <c r="E30"/>
  <c r="F30"/>
  <c r="G30"/>
  <c r="G32" s="1"/>
  <c r="H30"/>
  <c r="I30"/>
  <c r="I32" s="1"/>
  <c r="J30"/>
  <c r="K30"/>
  <c r="A31"/>
  <c r="B31"/>
  <c r="C31"/>
  <c r="D31"/>
  <c r="E31"/>
  <c r="E33" s="1"/>
  <c r="F31"/>
  <c r="F33" s="1"/>
  <c r="G31"/>
  <c r="H31"/>
  <c r="I31"/>
  <c r="I33" s="1"/>
  <c r="J31"/>
  <c r="J33" s="1"/>
  <c r="K31"/>
  <c r="H33"/>
  <c r="E32"/>
  <c r="D11" i="7"/>
  <c r="E11"/>
  <c r="F11"/>
  <c r="G11"/>
  <c r="H11"/>
  <c r="I11"/>
  <c r="J11"/>
  <c r="K11"/>
  <c r="L11"/>
  <c r="E24" i="6"/>
  <c r="C11" i="7"/>
  <c r="D10"/>
  <c r="E10"/>
  <c r="F10"/>
  <c r="G10"/>
  <c r="H10"/>
  <c r="I10"/>
  <c r="J10"/>
  <c r="K10"/>
  <c r="L10"/>
  <c r="C10"/>
  <c r="C6" i="8"/>
  <c r="C5"/>
  <c r="C4"/>
  <c r="H2" i="7"/>
  <c r="A2" i="1"/>
  <c r="A3"/>
  <c r="B109" i="2"/>
  <c r="E22" i="6"/>
  <c r="B78" i="2"/>
  <c r="B46"/>
  <c r="I46"/>
  <c r="J46"/>
  <c r="H46"/>
  <c r="H41"/>
  <c r="I41"/>
  <c r="B41" s="1"/>
  <c r="J41"/>
  <c r="G43"/>
  <c r="G78" s="1"/>
  <c r="G79" s="1"/>
  <c r="Q43"/>
  <c r="Q78" s="1"/>
  <c r="K10"/>
  <c r="C10"/>
  <c r="C5"/>
  <c r="K5"/>
  <c r="D12"/>
  <c r="D49" s="1"/>
  <c r="G12"/>
  <c r="G49" s="1"/>
  <c r="J12"/>
  <c r="J49" s="1"/>
  <c r="L12"/>
  <c r="L49" s="1"/>
  <c r="N12"/>
  <c r="N49" s="1"/>
  <c r="P12"/>
  <c r="P49" s="1"/>
  <c r="D11"/>
  <c r="D48" s="1"/>
  <c r="T78" s="1"/>
  <c r="F11"/>
  <c r="F48" s="1"/>
  <c r="V78" s="1"/>
  <c r="L11"/>
  <c r="L48" s="1"/>
  <c r="AB78" s="1"/>
  <c r="N11"/>
  <c r="N48" s="1"/>
  <c r="AD78" s="1"/>
  <c r="P11"/>
  <c r="P48" s="1"/>
  <c r="AF78" s="1"/>
  <c r="C11"/>
  <c r="C48" s="1"/>
  <c r="S78" s="1"/>
  <c r="D7"/>
  <c r="D44" s="1"/>
  <c r="F7"/>
  <c r="F44" s="1"/>
  <c r="H7"/>
  <c r="H44" s="1"/>
  <c r="N7"/>
  <c r="N44" s="1"/>
  <c r="P7"/>
  <c r="P44" s="1"/>
  <c r="R7"/>
  <c r="R44" s="1"/>
  <c r="D6"/>
  <c r="D43" s="1"/>
  <c r="D78" s="1"/>
  <c r="E6"/>
  <c r="E43" s="1"/>
  <c r="E78" s="1"/>
  <c r="F6"/>
  <c r="F43" s="1"/>
  <c r="F78" s="1"/>
  <c r="G6"/>
  <c r="H6"/>
  <c r="H43" s="1"/>
  <c r="H78" s="1"/>
  <c r="I6"/>
  <c r="I43" s="1"/>
  <c r="I78" s="1"/>
  <c r="J6"/>
  <c r="J43" s="1"/>
  <c r="J78" s="1"/>
  <c r="K6"/>
  <c r="K43" s="1"/>
  <c r="K78" s="1"/>
  <c r="L6"/>
  <c r="L43" s="1"/>
  <c r="L78" s="1"/>
  <c r="M6"/>
  <c r="M43" s="1"/>
  <c r="M78" s="1"/>
  <c r="N6"/>
  <c r="N43" s="1"/>
  <c r="N78" s="1"/>
  <c r="O6"/>
  <c r="O43" s="1"/>
  <c r="O78" s="1"/>
  <c r="P6"/>
  <c r="P43" s="1"/>
  <c r="P78" s="1"/>
  <c r="Q6"/>
  <c r="R6"/>
  <c r="R43" s="1"/>
  <c r="R78" s="1"/>
  <c r="C6"/>
  <c r="C43" s="1"/>
  <c r="C78" s="1"/>
  <c r="C80" l="1"/>
  <c r="C9" i="9"/>
  <c r="E9" s="1"/>
  <c r="E10" s="1"/>
  <c r="E11" s="1"/>
  <c r="E12"/>
  <c r="G80" i="2"/>
  <c r="G81" s="1"/>
  <c r="R79"/>
  <c r="R109"/>
  <c r="R140" s="1"/>
  <c r="Q2" i="1" s="1"/>
  <c r="Q4" s="1"/>
  <c r="R80" i="2"/>
  <c r="Q79"/>
  <c r="Q109"/>
  <c r="Q140" s="1"/>
  <c r="P2" i="1" s="1"/>
  <c r="P4" s="1"/>
  <c r="Q80" i="2"/>
  <c r="P150"/>
  <c r="P79"/>
  <c r="P109"/>
  <c r="P140" s="1"/>
  <c r="O2" i="1" s="1"/>
  <c r="O4" s="1"/>
  <c r="P80" i="2"/>
  <c r="O79"/>
  <c r="O150"/>
  <c r="O109"/>
  <c r="O140" s="1"/>
  <c r="N2" i="1" s="1"/>
  <c r="N4" s="1"/>
  <c r="O80" i="2"/>
  <c r="N150"/>
  <c r="N79"/>
  <c r="N109"/>
  <c r="N140" s="1"/>
  <c r="M2" i="1" s="1"/>
  <c r="M4" s="1"/>
  <c r="N80" i="2"/>
  <c r="M150"/>
  <c r="M79"/>
  <c r="M109"/>
  <c r="M140" s="1"/>
  <c r="L2" i="1" s="1"/>
  <c r="L4" s="1"/>
  <c r="M80" i="2"/>
  <c r="L150"/>
  <c r="L79"/>
  <c r="L109"/>
  <c r="L140" s="1"/>
  <c r="K2" i="1" s="1"/>
  <c r="K4" s="1"/>
  <c r="L80" i="2"/>
  <c r="K109"/>
  <c r="K140" s="1"/>
  <c r="J2" i="1" s="1"/>
  <c r="J4" s="1"/>
  <c r="K79" i="2"/>
  <c r="K150"/>
  <c r="K80"/>
  <c r="J79"/>
  <c r="J150"/>
  <c r="J109"/>
  <c r="J140" s="1"/>
  <c r="I2" i="1" s="1"/>
  <c r="I4" s="1"/>
  <c r="J80" i="2"/>
  <c r="I150"/>
  <c r="I79"/>
  <c r="I109"/>
  <c r="I140" s="1"/>
  <c r="H2" i="1" s="1"/>
  <c r="H4" s="1"/>
  <c r="I80" i="2"/>
  <c r="H150"/>
  <c r="H79"/>
  <c r="H109"/>
  <c r="H140" s="1"/>
  <c r="G2" i="1" s="1"/>
  <c r="G4" s="1"/>
  <c r="H80" i="2"/>
  <c r="G109"/>
  <c r="G140" s="1"/>
  <c r="F2" i="1" s="1"/>
  <c r="G150" i="2"/>
  <c r="F150"/>
  <c r="F79"/>
  <c r="F109"/>
  <c r="F140" s="1"/>
  <c r="E2" i="1" s="1"/>
  <c r="F80" i="2"/>
  <c r="E109"/>
  <c r="E140" s="1"/>
  <c r="D2" i="1" s="1"/>
  <c r="D4" s="1"/>
  <c r="E150" i="2"/>
  <c r="E79"/>
  <c r="E80"/>
  <c r="AB79"/>
  <c r="AB109"/>
  <c r="AB140" s="1"/>
  <c r="AA2" i="1" s="1"/>
  <c r="AA4" s="1"/>
  <c r="AB150" i="2"/>
  <c r="Z150"/>
  <c r="Z79"/>
  <c r="Z109"/>
  <c r="Z140" s="1"/>
  <c r="Y2" i="1" s="1"/>
  <c r="Y4" s="1"/>
  <c r="AH150" i="2"/>
  <c r="AH79"/>
  <c r="AH109"/>
  <c r="AH140" s="1"/>
  <c r="AG2" i="1" s="1"/>
  <c r="AG4" s="1"/>
  <c r="AG150" i="2"/>
  <c r="AG79"/>
  <c r="AG109"/>
  <c r="AG140" s="1"/>
  <c r="AF2" i="1" s="1"/>
  <c r="AF4" s="1"/>
  <c r="AC150" i="2"/>
  <c r="AC79"/>
  <c r="AC109"/>
  <c r="AC140" s="1"/>
  <c r="AB2" i="1" s="1"/>
  <c r="AB4" s="1"/>
  <c r="Y109" i="2"/>
  <c r="Y140" s="1"/>
  <c r="X2" i="1" s="1"/>
  <c r="X4" s="1"/>
  <c r="Y150" i="2"/>
  <c r="Y79"/>
  <c r="U150"/>
  <c r="U79"/>
  <c r="U109"/>
  <c r="U140" s="1"/>
  <c r="T2" i="1" s="1"/>
  <c r="T4" s="1"/>
  <c r="AE79" i="2"/>
  <c r="AE109"/>
  <c r="AE140" s="1"/>
  <c r="AD2" i="1" s="1"/>
  <c r="AD4" s="1"/>
  <c r="AE150" i="2"/>
  <c r="AA79"/>
  <c r="AA109"/>
  <c r="AA140" s="1"/>
  <c r="Z2" i="1" s="1"/>
  <c r="Z4" s="1"/>
  <c r="AA150" i="2"/>
  <c r="W79"/>
  <c r="W109"/>
  <c r="W140" s="1"/>
  <c r="V2" i="1" s="1"/>
  <c r="V4" s="1"/>
  <c r="W150" i="2"/>
  <c r="X109"/>
  <c r="X140" s="1"/>
  <c r="W2" i="1" s="1"/>
  <c r="W4" s="1"/>
  <c r="X150" i="2"/>
  <c r="X79"/>
  <c r="AF109"/>
  <c r="AF140" s="1"/>
  <c r="AE2" i="1" s="1"/>
  <c r="AE4" s="1"/>
  <c r="AF150" i="2"/>
  <c r="AF79"/>
  <c r="V150"/>
  <c r="V79"/>
  <c r="V109"/>
  <c r="V140" s="1"/>
  <c r="U2" i="1" s="1"/>
  <c r="U4" s="1"/>
  <c r="AD150" i="2"/>
  <c r="AD79"/>
  <c r="AD109"/>
  <c r="AD140" s="1"/>
  <c r="AC2" i="1" s="1"/>
  <c r="AC4" s="1"/>
  <c r="AE80" i="2"/>
  <c r="W80"/>
  <c r="W81" s="1"/>
  <c r="AH80"/>
  <c r="X80"/>
  <c r="AF80"/>
  <c r="U80"/>
  <c r="U81" s="1"/>
  <c r="V80"/>
  <c r="AG80"/>
  <c r="AC80"/>
  <c r="Y80"/>
  <c r="AD80"/>
  <c r="AB80"/>
  <c r="AA80"/>
  <c r="Z80"/>
  <c r="T79"/>
  <c r="T109"/>
  <c r="T140" s="1"/>
  <c r="S2" i="1" s="1"/>
  <c r="S4" s="1"/>
  <c r="T80" i="2"/>
  <c r="D109"/>
  <c r="D140" s="1"/>
  <c r="C2" i="1" s="1"/>
  <c r="C4" s="1"/>
  <c r="D150" i="2"/>
  <c r="D79"/>
  <c r="D80"/>
  <c r="S80"/>
  <c r="S79"/>
  <c r="S109"/>
  <c r="S140" s="1"/>
  <c r="R2" i="1" s="1"/>
  <c r="C150" i="2"/>
  <c r="C79"/>
  <c r="C109"/>
  <c r="C140" s="1"/>
  <c r="B2" i="1" s="1"/>
  <c r="H47"/>
  <c r="F47"/>
  <c r="B49"/>
  <c r="B36"/>
  <c r="J47"/>
  <c r="B33"/>
  <c r="K34"/>
  <c r="G34"/>
  <c r="J34"/>
  <c r="F34"/>
  <c r="B34"/>
  <c r="F46"/>
  <c r="I47"/>
  <c r="E47"/>
  <c r="B47"/>
  <c r="B35"/>
  <c r="C47"/>
  <c r="G47"/>
  <c r="K47"/>
  <c r="E46"/>
  <c r="I46"/>
  <c r="E45"/>
  <c r="I45"/>
  <c r="D45"/>
  <c r="H45"/>
  <c r="B46"/>
  <c r="B48"/>
  <c r="C45"/>
  <c r="G45"/>
  <c r="K45"/>
  <c r="B45"/>
  <c r="F45"/>
  <c r="J45"/>
  <c r="K34" i="7"/>
  <c r="G34"/>
  <c r="L34"/>
  <c r="H34"/>
  <c r="D34"/>
  <c r="C34"/>
  <c r="C37" s="1"/>
  <c r="I34"/>
  <c r="H34" i="1"/>
  <c r="D33"/>
  <c r="K32"/>
  <c r="C33"/>
  <c r="D36" s="1"/>
  <c r="G33"/>
  <c r="K33"/>
  <c r="E34"/>
  <c r="I34"/>
  <c r="D32"/>
  <c r="H32"/>
  <c r="C34"/>
  <c r="B32"/>
  <c r="F32"/>
  <c r="J32"/>
  <c r="E4"/>
  <c r="F4"/>
  <c r="U110" i="2" l="1"/>
  <c r="U151" s="1"/>
  <c r="U152" s="1"/>
  <c r="W110"/>
  <c r="W151" s="1"/>
  <c r="W152" s="1"/>
  <c r="G110"/>
  <c r="G141" s="1"/>
  <c r="F3" i="1" s="1"/>
  <c r="I81" i="2"/>
  <c r="I110" s="1"/>
  <c r="K81"/>
  <c r="L81"/>
  <c r="L110" s="1"/>
  <c r="M81"/>
  <c r="M110" s="1"/>
  <c r="P81"/>
  <c r="Q81"/>
  <c r="R81"/>
  <c r="R110" s="1"/>
  <c r="H81"/>
  <c r="H110" s="1"/>
  <c r="AF81"/>
  <c r="AD81"/>
  <c r="AD110" s="1"/>
  <c r="AG81"/>
  <c r="AG110" s="1"/>
  <c r="AE81"/>
  <c r="O81"/>
  <c r="O110" s="1"/>
  <c r="N81"/>
  <c r="N110" s="1"/>
  <c r="AC81"/>
  <c r="AC110" s="1"/>
  <c r="J81"/>
  <c r="J110" s="1"/>
  <c r="D81"/>
  <c r="D110" s="1"/>
  <c r="E81"/>
  <c r="F81"/>
  <c r="E13" i="9"/>
  <c r="AA81" i="2"/>
  <c r="Y81"/>
  <c r="Y110" s="1"/>
  <c r="AH81"/>
  <c r="AH110" s="1"/>
  <c r="V81"/>
  <c r="V110" s="1"/>
  <c r="T81"/>
  <c r="T110" s="1"/>
  <c r="X81"/>
  <c r="AB81"/>
  <c r="Z81"/>
  <c r="B7" i="1"/>
  <c r="U141" i="2"/>
  <c r="T3" i="1" s="1"/>
  <c r="S81" i="2"/>
  <c r="S110" s="1"/>
  <c r="R4" i="1"/>
  <c r="B4"/>
  <c r="C81" i="2"/>
  <c r="F35" i="1"/>
  <c r="F48"/>
  <c r="D35"/>
  <c r="D49"/>
  <c r="D48"/>
  <c r="W141" i="2" l="1"/>
  <c r="V3" i="1" s="1"/>
  <c r="V5" s="1"/>
  <c r="G151" i="2"/>
  <c r="G152" s="1"/>
  <c r="F110"/>
  <c r="F151" s="1"/>
  <c r="F152" s="1"/>
  <c r="C110"/>
  <c r="C151" s="1"/>
  <c r="C152" s="1"/>
  <c r="AA110"/>
  <c r="AA151" s="1"/>
  <c r="AA152" s="1"/>
  <c r="AF110"/>
  <c r="AF151" s="1"/>
  <c r="AF152" s="1"/>
  <c r="P110"/>
  <c r="P151" s="1"/>
  <c r="P152" s="1"/>
  <c r="AB110"/>
  <c r="AB151" s="1"/>
  <c r="AB152" s="1"/>
  <c r="Z110"/>
  <c r="Z151" s="1"/>
  <c r="Z152" s="1"/>
  <c r="AE110"/>
  <c r="AE151" s="1"/>
  <c r="AE152" s="1"/>
  <c r="X110"/>
  <c r="X151" s="1"/>
  <c r="X152" s="1"/>
  <c r="E110"/>
  <c r="E151" s="1"/>
  <c r="E152" s="1"/>
  <c r="Q110"/>
  <c r="Q151" s="1"/>
  <c r="Q152" s="1"/>
  <c r="K110"/>
  <c r="K141" s="1"/>
  <c r="J3" i="1" s="1"/>
  <c r="J6" s="1"/>
  <c r="AG141" i="2"/>
  <c r="AF3" i="1" s="1"/>
  <c r="AF6" s="1"/>
  <c r="AG151" i="2"/>
  <c r="AG152" s="1"/>
  <c r="H141"/>
  <c r="G3" i="1" s="1"/>
  <c r="G6" s="1"/>
  <c r="H151" i="2"/>
  <c r="H152" s="1"/>
  <c r="M141"/>
  <c r="L3" i="1" s="1"/>
  <c r="L6" s="1"/>
  <c r="M151" i="2"/>
  <c r="M152" s="1"/>
  <c r="T141"/>
  <c r="S3" i="1" s="1"/>
  <c r="S6" s="1"/>
  <c r="T151" i="2"/>
  <c r="T152" s="1"/>
  <c r="D141"/>
  <c r="C3" i="1" s="1"/>
  <c r="D151" i="2"/>
  <c r="D152" s="1"/>
  <c r="O141"/>
  <c r="N3" i="1" s="1"/>
  <c r="N6" s="1"/>
  <c r="O151" i="2"/>
  <c r="O152" s="1"/>
  <c r="I141"/>
  <c r="H3" i="1" s="1"/>
  <c r="H5" s="1"/>
  <c r="I151" i="2"/>
  <c r="I152" s="1"/>
  <c r="AH141"/>
  <c r="AG3" i="1" s="1"/>
  <c r="AG5" s="1"/>
  <c r="AH151" i="2"/>
  <c r="AH152" s="1"/>
  <c r="AC141"/>
  <c r="AB3" i="1" s="1"/>
  <c r="AB5" s="1"/>
  <c r="AC151" i="2"/>
  <c r="AC152" s="1"/>
  <c r="S141"/>
  <c r="R3" i="1" s="1"/>
  <c r="R5" s="1"/>
  <c r="S151" i="2"/>
  <c r="S152" s="1"/>
  <c r="V141"/>
  <c r="U3" i="1" s="1"/>
  <c r="U6" s="1"/>
  <c r="V151" i="2"/>
  <c r="V152" s="1"/>
  <c r="Y141"/>
  <c r="X3" i="1" s="1"/>
  <c r="X6" s="1"/>
  <c r="Y151" i="2"/>
  <c r="Y152" s="1"/>
  <c r="N141"/>
  <c r="M3" i="1" s="1"/>
  <c r="M5" s="1"/>
  <c r="N151" i="2"/>
  <c r="N152" s="1"/>
  <c r="AD141"/>
  <c r="AC3" i="1" s="1"/>
  <c r="AC5" s="1"/>
  <c r="AD151" i="2"/>
  <c r="AD152" s="1"/>
  <c r="R141"/>
  <c r="Q3" i="1" s="1"/>
  <c r="R151" i="2"/>
  <c r="R152" s="1"/>
  <c r="L141"/>
  <c r="K3" i="1" s="1"/>
  <c r="L151" i="2"/>
  <c r="L152" s="1"/>
  <c r="J141"/>
  <c r="I3" i="1" s="1"/>
  <c r="I5" s="1"/>
  <c r="J151" i="2"/>
  <c r="J152" s="1"/>
  <c r="Q141"/>
  <c r="P3" i="1" s="1"/>
  <c r="P5" s="1"/>
  <c r="P141" i="2"/>
  <c r="O3" i="1" s="1"/>
  <c r="O6" s="1"/>
  <c r="AA141" i="2"/>
  <c r="Z3" i="1" s="1"/>
  <c r="Z6" s="1"/>
  <c r="F141" i="2"/>
  <c r="E3" i="1" s="1"/>
  <c r="V6"/>
  <c r="T5"/>
  <c r="T6"/>
  <c r="AB6"/>
  <c r="H6"/>
  <c r="F6"/>
  <c r="F5"/>
  <c r="L5"/>
  <c r="D7"/>
  <c r="B52"/>
  <c r="D52" s="1"/>
  <c r="F52" s="1"/>
  <c r="B50"/>
  <c r="B39"/>
  <c r="D39" s="1"/>
  <c r="F39" s="1"/>
  <c r="B37"/>
  <c r="AF141" i="2" l="1"/>
  <c r="AE3" i="1" s="1"/>
  <c r="AE5" s="1"/>
  <c r="N5"/>
  <c r="G5"/>
  <c r="Z141" i="2"/>
  <c r="Y3" i="1" s="1"/>
  <c r="Y5" s="1"/>
  <c r="AF5"/>
  <c r="X141" i="2"/>
  <c r="W3" i="1" s="1"/>
  <c r="W5" s="1"/>
  <c r="M6"/>
  <c r="U5"/>
  <c r="I6"/>
  <c r="C141" i="2"/>
  <c r="B3" i="1" s="1"/>
  <c r="B5" s="1"/>
  <c r="AB141" i="2"/>
  <c r="AA3" i="1" s="1"/>
  <c r="AA5" s="1"/>
  <c r="J5"/>
  <c r="AE141" i="2"/>
  <c r="AD3" i="1" s="1"/>
  <c r="AD6" s="1"/>
  <c r="R6"/>
  <c r="E141" i="2"/>
  <c r="D3" i="1" s="1"/>
  <c r="D6" s="1"/>
  <c r="S5"/>
  <c r="K151" i="2"/>
  <c r="K152" s="1"/>
  <c r="X5" i="1"/>
  <c r="AG6"/>
  <c r="Q6"/>
  <c r="Q5"/>
  <c r="C6"/>
  <c r="C5"/>
  <c r="AC6"/>
  <c r="K6"/>
  <c r="K5"/>
  <c r="P6"/>
  <c r="AE6"/>
  <c r="O5"/>
  <c r="Z5"/>
  <c r="E5"/>
  <c r="E6"/>
  <c r="B38"/>
  <c r="L14" i="7" s="1"/>
  <c r="L13"/>
  <c r="B51" i="1"/>
  <c r="L41" i="7" s="1"/>
  <c r="L40"/>
  <c r="D50" i="1"/>
  <c r="F50" s="1"/>
  <c r="D37"/>
  <c r="F37" s="1"/>
  <c r="B6" l="1"/>
  <c r="W6"/>
  <c r="Y6"/>
  <c r="AA6"/>
  <c r="AD5"/>
  <c r="B8"/>
  <c r="D5"/>
  <c r="G77" i="7"/>
  <c r="K77"/>
  <c r="F77"/>
  <c r="J77"/>
  <c r="D77"/>
  <c r="E77"/>
  <c r="I77"/>
  <c r="M77"/>
  <c r="H77"/>
  <c r="L77"/>
  <c r="C61"/>
  <c r="C60"/>
  <c r="D51" i="1"/>
  <c r="F51" s="1"/>
  <c r="D38"/>
  <c r="F38" s="1"/>
  <c r="F7" l="1"/>
  <c r="B11" s="1"/>
  <c r="D8"/>
  <c r="E76" i="7"/>
  <c r="I76"/>
  <c r="M76"/>
  <c r="H76"/>
  <c r="L76"/>
  <c r="G76"/>
  <c r="K76"/>
  <c r="F76"/>
  <c r="J76"/>
  <c r="D76"/>
  <c r="H165"/>
  <c r="H168" s="1"/>
  <c r="G165"/>
  <c r="G168" s="1"/>
  <c r="F165"/>
  <c r="F168" s="1"/>
  <c r="D165"/>
  <c r="D168" s="1"/>
  <c r="E165"/>
  <c r="E168" s="1"/>
  <c r="C165"/>
  <c r="C168" s="1"/>
  <c r="B9" i="1" l="1"/>
  <c r="C145" i="2" s="1"/>
  <c r="D11" i="1"/>
  <c r="F11" s="1"/>
  <c r="B10"/>
  <c r="C146" i="2" s="1"/>
  <c r="D9" i="1"/>
  <c r="F9" s="1"/>
  <c r="C4" i="9" s="1"/>
  <c r="D10" i="1" l="1"/>
  <c r="F10" s="1"/>
  <c r="C5" i="9" s="1"/>
</calcChain>
</file>

<file path=xl/sharedStrings.xml><?xml version="1.0" encoding="utf-8"?>
<sst xmlns="http://schemas.openxmlformats.org/spreadsheetml/2006/main" count="198" uniqueCount="119">
  <si>
    <t>&lt;x&gt;</t>
  </si>
  <si>
    <t>&lt;y&gt;</t>
  </si>
  <si>
    <t>&lt;x^2&gt;</t>
  </si>
  <si>
    <t>&lt;y^2&gt;</t>
  </si>
  <si>
    <t>&lt;xy&gt;</t>
  </si>
  <si>
    <t>x^2</t>
  </si>
  <si>
    <t>y^2</t>
  </si>
  <si>
    <t>xy</t>
  </si>
  <si>
    <t>a</t>
  </si>
  <si>
    <t>n</t>
  </si>
  <si>
    <t>k</t>
  </si>
  <si>
    <t>q(b)</t>
  </si>
  <si>
    <t>q(a)</t>
  </si>
  <si>
    <t>q(k)</t>
  </si>
  <si>
    <t>ε(b), %</t>
  </si>
  <si>
    <t>ε(a), %</t>
  </si>
  <si>
    <t>ε(k), %</t>
  </si>
  <si>
    <r>
      <t>b (tg</t>
    </r>
    <r>
      <rPr>
        <sz val="11"/>
        <color theme="1"/>
        <rFont val="Calibri"/>
        <family val="2"/>
        <charset val="204"/>
      </rPr>
      <t>α)</t>
    </r>
  </si>
  <si>
    <t>Изучение равновесия диссоциации N2O4 в газовой фазе спектрофотометрическим методом</t>
  </si>
  <si>
    <t>Зависимость D от  Т</t>
  </si>
  <si>
    <t>t, °C</t>
  </si>
  <si>
    <t>D, 1</t>
  </si>
  <si>
    <t>D, 2</t>
  </si>
  <si>
    <t>D, 3</t>
  </si>
  <si>
    <t>λ</t>
  </si>
  <si>
    <t xml:space="preserve">λ, </t>
  </si>
  <si>
    <r>
      <rPr>
        <sz val="16"/>
        <color theme="1"/>
        <rFont val="Calibri"/>
        <family val="2"/>
        <charset val="204"/>
        <scheme val="minor"/>
      </rPr>
      <t>ε</t>
    </r>
    <r>
      <rPr>
        <sz val="8"/>
        <color theme="1"/>
        <rFont val="Calibri"/>
        <family val="2"/>
        <charset val="204"/>
        <scheme val="minor"/>
      </rPr>
      <t xml:space="preserve">λ, </t>
    </r>
    <r>
      <rPr>
        <sz val="11"/>
        <color theme="1"/>
        <rFont val="Calibri"/>
        <family val="2"/>
        <charset val="204"/>
        <scheme val="minor"/>
      </rPr>
      <t>л/(моль*см)</t>
    </r>
  </si>
  <si>
    <t>l, см</t>
  </si>
  <si>
    <t>ΔD</t>
  </si>
  <si>
    <t>постоянные эксперимента</t>
  </si>
  <si>
    <t xml:space="preserve">Δλ, </t>
  </si>
  <si>
    <t>Δt, °C</t>
  </si>
  <si>
    <r>
      <t>Δ</t>
    </r>
    <r>
      <rPr>
        <sz val="16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charset val="204"/>
      </rPr>
      <t>λ, л/(моль*см)</t>
    </r>
  </si>
  <si>
    <t>T, K</t>
  </si>
  <si>
    <t>D(T)</t>
  </si>
  <si>
    <t>Зависимость оптической пл-ти D от  Т</t>
  </si>
  <si>
    <r>
      <t>[NO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], моль/л</t>
    </r>
  </si>
  <si>
    <r>
      <t>Зависимость концентрации 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от температуры Т при разных длинах волн</t>
    </r>
  </si>
  <si>
    <r>
      <t>ΔС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</si>
  <si>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</si>
  <si>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P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кПа</t>
    </r>
  </si>
  <si>
    <t>R, Дж/(моль*К)</t>
  </si>
  <si>
    <t>P, кПа</t>
  </si>
  <si>
    <t>α</t>
  </si>
  <si>
    <r>
      <t>Зависимость константы диссоциации 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</t>
    </r>
  </si>
  <si>
    <r>
      <t xml:space="preserve">Зависимость степени диссоциации </t>
    </r>
    <r>
      <rPr>
        <sz val="11"/>
        <color theme="1"/>
        <rFont val="Calibri"/>
        <family val="2"/>
        <charset val="204"/>
      </rPr>
      <t>α</t>
    </r>
    <r>
      <rPr>
        <sz val="9.35"/>
        <color theme="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</rPr>
      <t>от температуры Т</t>
    </r>
  </si>
  <si>
    <r>
      <t>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атм</t>
    </r>
  </si>
  <si>
    <r>
      <t>Зависимость ln(К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от 1/Т</t>
    </r>
  </si>
  <si>
    <t>1/Т, 1/К</t>
  </si>
  <si>
    <r>
      <t>ln(K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)</t>
    </r>
  </si>
  <si>
    <t>график в МНК</t>
  </si>
  <si>
    <r>
      <rPr>
        <sz val="11"/>
        <color theme="1"/>
        <rFont val="Calibri"/>
        <family val="2"/>
        <charset val="204"/>
      </rPr>
      <t>ΔH°</t>
    </r>
    <r>
      <rPr>
        <sz val="8"/>
        <color theme="1"/>
        <rFont val="Calibri"/>
        <family val="2"/>
        <charset val="204"/>
      </rPr>
      <t>T</t>
    </r>
    <r>
      <rPr>
        <sz val="11"/>
        <color theme="1"/>
        <rFont val="Calibri"/>
        <family val="2"/>
        <charset val="204"/>
      </rPr>
      <t>, кДж/(моль*К)</t>
    </r>
  </si>
  <si>
    <r>
      <rPr>
        <sz val="11"/>
        <color theme="1"/>
        <rFont val="Calibri"/>
        <family val="2"/>
        <charset val="204"/>
      </rPr>
      <t>ΔS°</t>
    </r>
    <r>
      <rPr>
        <sz val="8"/>
        <color theme="1"/>
        <rFont val="Calibri"/>
        <family val="2"/>
        <charset val="204"/>
      </rPr>
      <t>Т</t>
    </r>
    <r>
      <rPr>
        <sz val="11"/>
        <color theme="1"/>
        <rFont val="Calibri"/>
        <family val="2"/>
        <charset val="204"/>
      </rPr>
      <t>, Дж/моль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</si>
  <si>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, кал/(г*К)</t>
    </r>
  </si>
  <si>
    <t>P, мм рт. ст.</t>
  </si>
  <si>
    <t>χ, кал/(см·с·K)</t>
  </si>
  <si>
    <t>http://thermalinfo.ru/publ/gazy/neorganicheskie_gazy/teploprovodnost_i_svojstva_chetyrekhokisi_azota_n2o4/27-1-0-387</t>
  </si>
  <si>
    <t>ρ, г/см3</t>
  </si>
  <si>
    <t xml:space="preserve">Перевод единиц </t>
  </si>
  <si>
    <r>
      <t>μ(N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O</t>
    </r>
    <r>
      <rPr>
        <sz val="8"/>
        <color theme="1"/>
        <rFont val="Calibri"/>
        <family val="2"/>
        <charset val="204"/>
      </rPr>
      <t>4</t>
    </r>
    <r>
      <rPr>
        <sz val="11"/>
        <color theme="1"/>
        <rFont val="Calibri"/>
        <family val="2"/>
        <charset val="204"/>
      </rPr>
      <t>), г/моль</t>
    </r>
  </si>
  <si>
    <t>Т, К</t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</si>
  <si>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Дж/(моль*К)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</si>
  <si>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NO</t>
    </r>
    <r>
      <rPr>
        <sz val="8"/>
        <color theme="1"/>
        <rFont val="Calibri"/>
        <family val="2"/>
        <charset val="204"/>
        <scheme val="minor"/>
      </rPr>
      <t>2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</si>
  <si>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</si>
  <si>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= a + bT + cT-2</t>
    </r>
  </si>
  <si>
    <t xml:space="preserve">Теплоемкость </t>
  </si>
  <si>
    <t>b</t>
  </si>
  <si>
    <t>c</t>
  </si>
  <si>
    <r>
      <t>μ(NO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), г/моль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</si>
  <si>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</si>
  <si>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</t>
    </r>
  </si>
  <si>
    <t>ε(Cp), %</t>
  </si>
  <si>
    <t>NO2:</t>
  </si>
  <si>
    <t>k, Дж/(моль*К2)</t>
  </si>
  <si>
    <t>b, Дж/(моль*К)</t>
  </si>
  <si>
    <t xml:space="preserve"> </t>
  </si>
  <si>
    <r>
      <t xml:space="preserve">Зависимость </t>
    </r>
    <r>
      <rPr>
        <sz val="11"/>
        <color theme="1"/>
        <rFont val="Calibri"/>
        <family val="2"/>
        <charset val="204"/>
      </rPr>
      <t>ΔCp от температуры Т</t>
    </r>
  </si>
  <si>
    <t>ΔCp = k*T + b</t>
  </si>
  <si>
    <t>Данные в лабнике</t>
  </si>
  <si>
    <t>N2O4</t>
  </si>
  <si>
    <t>NO2</t>
  </si>
  <si>
    <r>
      <t>ΔH°</t>
    </r>
    <r>
      <rPr>
        <sz val="8"/>
        <color theme="1"/>
        <rFont val="Calibri"/>
        <family val="2"/>
        <charset val="204"/>
      </rPr>
      <t>f</t>
    </r>
    <r>
      <rPr>
        <sz val="11"/>
        <color theme="1"/>
        <rFont val="Calibri"/>
        <family val="2"/>
        <charset val="204"/>
      </rPr>
      <t>, Дж/моль</t>
    </r>
  </si>
  <si>
    <t xml:space="preserve">T, К      </t>
  </si>
  <si>
    <t>ln(Kp)</t>
  </si>
  <si>
    <t>1 прибл</t>
  </si>
  <si>
    <t>2 прибл</t>
  </si>
  <si>
    <t>3 прибл</t>
  </si>
  <si>
    <t>смесь</t>
  </si>
  <si>
    <t>ΔS°f, Дж/моль</t>
  </si>
  <si>
    <r>
      <t>T</t>
    </r>
    <r>
      <rPr>
        <sz val="8"/>
        <color theme="1"/>
        <rFont val="Calibri"/>
        <family val="2"/>
        <charset val="204"/>
        <scheme val="minor"/>
      </rPr>
      <t>0</t>
    </r>
  </si>
  <si>
    <t>Зависимость ln(Kp) от температуры T (табличная и экспериментальная)</t>
  </si>
  <si>
    <t>4 прибл</t>
  </si>
  <si>
    <r>
      <t>К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</si>
  <si>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(г),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</si>
  <si>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(р-р), моль/л</t>
    </r>
  </si>
  <si>
    <t>CS2</t>
  </si>
  <si>
    <t>CCl4</t>
  </si>
  <si>
    <t>CHCl3</t>
  </si>
  <si>
    <t>C2H5Br</t>
  </si>
  <si>
    <t>C6H6</t>
  </si>
  <si>
    <t>газ.фаза</t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</si>
  <si>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)*10^5</t>
    </r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</si>
  <si>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)*10^5</t>
    </r>
  </si>
  <si>
    <t>Т=293,15</t>
  </si>
  <si>
    <t>Зависимость константы диссоциации Кс от температуры Т (табл)</t>
  </si>
  <si>
    <t>Зависимость константы диссоциации Кс от температуры Т (экспер)</t>
  </si>
  <si>
    <t>Диссоциация N2O4 в различных средах</t>
  </si>
  <si>
    <r>
      <t xml:space="preserve">погрешность </t>
    </r>
    <r>
      <rPr>
        <sz val="11"/>
        <color theme="1"/>
        <rFont val="Calibri"/>
        <family val="2"/>
        <charset val="204"/>
      </rPr>
      <t xml:space="preserve">ΔН° и ΔS° </t>
    </r>
  </si>
  <si>
    <r>
      <t>εΔH°</t>
    </r>
    <r>
      <rPr>
        <sz val="8"/>
        <color theme="1"/>
        <rFont val="Calibri"/>
        <family val="2"/>
        <charset val="204"/>
      </rPr>
      <t>T</t>
    </r>
    <r>
      <rPr>
        <sz val="11"/>
        <color theme="1"/>
        <rFont val="Calibri"/>
        <family val="2"/>
        <charset val="204"/>
      </rPr>
      <t>, кДж/(моль*К)</t>
    </r>
  </si>
  <si>
    <r>
      <t>εΔS°</t>
    </r>
    <r>
      <rPr>
        <sz val="8"/>
        <color theme="1"/>
        <rFont val="Calibri"/>
        <family val="2"/>
        <charset val="204"/>
      </rPr>
      <t>Т</t>
    </r>
    <r>
      <rPr>
        <sz val="11"/>
        <color theme="1"/>
        <rFont val="Calibri"/>
        <family val="2"/>
        <charset val="204"/>
      </rPr>
      <t>, Дж/моль</t>
    </r>
  </si>
  <si>
    <t>другие погрешности</t>
  </si>
  <si>
    <t>ε(f)</t>
  </si>
  <si>
    <t>ε[NO2]</t>
  </si>
  <si>
    <t>ε(α)</t>
  </si>
  <si>
    <t>ε(Ро)</t>
  </si>
  <si>
    <t>ε(Kp)</t>
  </si>
  <si>
    <t>E</t>
  </si>
  <si>
    <t>нм</t>
  </si>
  <si>
    <t>подгон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</si>
</sst>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.35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1" fillId="0" borderId="1" xfId="0" applyFon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ont="1" applyFill="1" applyBorder="1"/>
    <xf numFmtId="0" fontId="2" fillId="12" borderId="2" xfId="0" applyFont="1" applyFill="1" applyBorder="1" applyAlignment="1">
      <alignment horizontal="right"/>
    </xf>
    <xf numFmtId="0" fontId="0" fillId="11" borderId="2" xfId="0" applyFill="1" applyBorder="1" applyAlignment="1">
      <alignment horizontal="right"/>
    </xf>
    <xf numFmtId="0" fontId="0" fillId="5" borderId="0" xfId="0" applyFill="1" applyBorder="1"/>
    <xf numFmtId="0" fontId="5" fillId="6" borderId="3" xfId="0" applyFont="1" applyFill="1" applyBorder="1" applyAlignment="1">
      <alignment horizontal="center"/>
    </xf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5" borderId="0" xfId="0" applyFont="1" applyFill="1"/>
    <xf numFmtId="0" fontId="0" fillId="11" borderId="2" xfId="0" applyNumberForma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5" borderId="0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/>
    <xf numFmtId="0" fontId="2" fillId="12" borderId="0" xfId="0" applyFont="1" applyFill="1" applyBorder="1" applyAlignment="1">
      <alignment horizontal="right"/>
    </xf>
    <xf numFmtId="0" fontId="0" fillId="0" borderId="2" xfId="0" applyFill="1" applyBorder="1"/>
    <xf numFmtId="0" fontId="9" fillId="0" borderId="0" xfId="0" applyFont="1"/>
    <xf numFmtId="0" fontId="0" fillId="0" borderId="3" xfId="0" applyFill="1" applyBorder="1"/>
    <xf numFmtId="0" fontId="0" fillId="0" borderId="3" xfId="0" applyFill="1" applyBorder="1" applyAlignment="1"/>
    <xf numFmtId="0" fontId="0" fillId="0" borderId="0" xfId="0" applyFill="1" applyBorder="1" applyAlignment="1"/>
    <xf numFmtId="0" fontId="0" fillId="5" borderId="14" xfId="0" applyFill="1" applyBorder="1"/>
    <xf numFmtId="0" fontId="0" fillId="13" borderId="0" xfId="0" applyFill="1"/>
    <xf numFmtId="0" fontId="0" fillId="13" borderId="2" xfId="0" applyFill="1" applyBorder="1"/>
    <xf numFmtId="0" fontId="0" fillId="0" borderId="0" xfId="0" applyAlignment="1"/>
    <xf numFmtId="164" fontId="0" fillId="0" borderId="0" xfId="0" applyNumberFormat="1"/>
    <xf numFmtId="0" fontId="11" fillId="0" borderId="0" xfId="1" applyAlignment="1" applyProtection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5" borderId="3" xfId="0" applyFill="1" applyBorder="1" applyAlignment="1"/>
    <xf numFmtId="0" fontId="0" fillId="0" borderId="3" xfId="0" applyFont="1" applyFill="1" applyBorder="1"/>
    <xf numFmtId="0" fontId="0" fillId="0" borderId="2" xfId="0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13" xfId="0" applyNumberFormat="1" applyFill="1" applyBorder="1"/>
    <xf numFmtId="2" fontId="0" fillId="0" borderId="3" xfId="0" applyNumberFormat="1" applyFill="1" applyBorder="1"/>
    <xf numFmtId="2" fontId="0" fillId="0" borderId="2" xfId="0" applyNumberFormat="1" applyFill="1" applyBorder="1"/>
    <xf numFmtId="2" fontId="0" fillId="0" borderId="14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5" xfId="0" applyNumberFormat="1" applyFill="1" applyBorder="1"/>
    <xf numFmtId="0" fontId="0" fillId="0" borderId="15" xfId="0" applyNumberFormat="1" applyBorder="1"/>
    <xf numFmtId="0" fontId="1" fillId="0" borderId="0" xfId="0" applyFont="1"/>
    <xf numFmtId="165" fontId="0" fillId="0" borderId="0" xfId="0" applyNumberFormat="1"/>
    <xf numFmtId="0" fontId="0" fillId="0" borderId="14" xfId="0" applyFill="1" applyBorder="1"/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оптической плотности </a:t>
            </a:r>
            <a:r>
              <a:rPr lang="en-US"/>
              <a:t>D </a:t>
            </a:r>
            <a:r>
              <a:rPr lang="ru-RU"/>
              <a:t>от температуры Т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Отчет!$C$5</c:f>
              <c:strCache>
                <c:ptCount val="1"/>
                <c:pt idx="0">
                  <c:v>D(T) при повышении T (λ = 490нм )</c:v>
                </c:pt>
              </c:strCache>
            </c:strRef>
          </c:tx>
          <c:xVal>
            <c:numRef>
              <c:f>Отчет!$C$6:$J$6</c:f>
              <c:numCache>
                <c:formatCode>General</c:formatCode>
                <c:ptCount val="8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</c:numCache>
            </c:numRef>
          </c:xVal>
          <c:yVal>
            <c:numRef>
              <c:f>Отчет!$C$7:$J$7</c:f>
              <c:numCache>
                <c:formatCode>General</c:formatCode>
                <c:ptCount val="8"/>
                <c:pt idx="0">
                  <c:v>1.0995384301463193E-2</c:v>
                </c:pt>
                <c:pt idx="1">
                  <c:v>0.11776015198117658</c:v>
                </c:pt>
                <c:pt idx="2">
                  <c:v>0.22822884625413206</c:v>
                </c:pt>
                <c:pt idx="3">
                  <c:v>0.33021838479146343</c:v>
                </c:pt>
                <c:pt idx="4">
                  <c:v>0.42596873227228121</c:v>
                </c:pt>
                <c:pt idx="5">
                  <c:v>0.51215487988856445</c:v>
                </c:pt>
                <c:pt idx="6">
                  <c:v>0.58711964153502583</c:v>
                </c:pt>
                <c:pt idx="7">
                  <c:v>0.65511672063013704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Отчет!$K$5</c:f>
              <c:strCache>
                <c:ptCount val="1"/>
                <c:pt idx="0">
                  <c:v>D(T) при понижении T (λ = 490нм )</c:v>
                </c:pt>
              </c:strCache>
            </c:strRef>
          </c:tx>
          <c:xVal>
            <c:numRef>
              <c:f>Отчет!$K$6:$R$6</c:f>
              <c:numCache>
                <c:formatCode>General</c:formatCode>
                <c:ptCount val="8"/>
                <c:pt idx="0">
                  <c:v>335.45</c:v>
                </c:pt>
                <c:pt idx="1">
                  <c:v>331.34999999999997</c:v>
                </c:pt>
                <c:pt idx="2">
                  <c:v>326.75</c:v>
                </c:pt>
                <c:pt idx="3">
                  <c:v>320.95</c:v>
                </c:pt>
                <c:pt idx="4">
                  <c:v>316.84999999999997</c:v>
                </c:pt>
                <c:pt idx="5">
                  <c:v>311.75</c:v>
                </c:pt>
                <c:pt idx="6">
                  <c:v>306.14999999999998</c:v>
                </c:pt>
                <c:pt idx="7">
                  <c:v>301.84999999999997</c:v>
                </c:pt>
              </c:numCache>
            </c:numRef>
          </c:xVal>
          <c:yVal>
            <c:numRef>
              <c:f>Отчет!$K$7:$R$7</c:f>
              <c:numCache>
                <c:formatCode>General</c:formatCode>
                <c:ptCount val="8"/>
                <c:pt idx="0">
                  <c:v>0.62433638603911468</c:v>
                </c:pt>
                <c:pt idx="1">
                  <c:v>0.56663025314341409</c:v>
                </c:pt>
                <c:pt idx="2">
                  <c:v>0.49315686366064909</c:v>
                </c:pt>
                <c:pt idx="3">
                  <c:v>0.38854223433165752</c:v>
                </c:pt>
                <c:pt idx="4">
                  <c:v>0.30869743661651688</c:v>
                </c:pt>
                <c:pt idx="5">
                  <c:v>0.19808202765860766</c:v>
                </c:pt>
                <c:pt idx="6">
                  <c:v>7.378621416091867E-2</c:v>
                </c:pt>
                <c:pt idx="7">
                  <c:v>-2.4280376047079902E-2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Отчет!$C$10</c:f>
              <c:strCache>
                <c:ptCount val="1"/>
                <c:pt idx="0">
                  <c:v>D(T) при повышении T (λ = 540нм )</c:v>
                </c:pt>
              </c:strCache>
            </c:strRef>
          </c:tx>
          <c:xVal>
            <c:numRef>
              <c:f>Отчет!$C$11:$J$11</c:f>
              <c:numCache>
                <c:formatCode>General</c:formatCode>
                <c:ptCount val="8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</c:numCache>
            </c:numRef>
          </c:xVal>
          <c:yVal>
            <c:numRef>
              <c:f>Отчет!$C$12:$J$12</c:f>
              <c:numCache>
                <c:formatCode>General</c:formatCode>
                <c:ptCount val="8"/>
                <c:pt idx="0">
                  <c:v>7.3767290587543524E-3</c:v>
                </c:pt>
                <c:pt idx="1">
                  <c:v>4.3225154045280025E-2</c:v>
                </c:pt>
                <c:pt idx="2">
                  <c:v>7.8998423699354198E-2</c:v>
                </c:pt>
                <c:pt idx="3">
                  <c:v>0.11321252423045589</c:v>
                </c:pt>
                <c:pt idx="4">
                  <c:v>0.14585383100834604</c:v>
                </c:pt>
                <c:pt idx="5">
                  <c:v>0.17631989527149267</c:v>
                </c:pt>
                <c:pt idx="6">
                  <c:v>0.20320663956029825</c:v>
                </c:pt>
                <c:pt idx="7">
                  <c:v>0.22876074403268629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Отчет!$K$10</c:f>
              <c:strCache>
                <c:ptCount val="1"/>
                <c:pt idx="0">
                  <c:v>D(T) при понижении T (λ = 540нм )</c:v>
                </c:pt>
              </c:strCache>
            </c:strRef>
          </c:tx>
          <c:xVal>
            <c:numRef>
              <c:f>Отчет!$K$11:$R$11</c:f>
              <c:numCache>
                <c:formatCode>General</c:formatCode>
                <c:ptCount val="8"/>
                <c:pt idx="0">
                  <c:v>335.45</c:v>
                </c:pt>
                <c:pt idx="1">
                  <c:v>331.34999999999997</c:v>
                </c:pt>
                <c:pt idx="2">
                  <c:v>326.75</c:v>
                </c:pt>
                <c:pt idx="3">
                  <c:v>320.95</c:v>
                </c:pt>
                <c:pt idx="4">
                  <c:v>316.84999999999997</c:v>
                </c:pt>
                <c:pt idx="5">
                  <c:v>311.75</c:v>
                </c:pt>
                <c:pt idx="6">
                  <c:v>306.14999999999998</c:v>
                </c:pt>
                <c:pt idx="7">
                  <c:v>301.84999999999997</c:v>
                </c:pt>
              </c:numCache>
            </c:numRef>
          </c:xVal>
          <c:yVal>
            <c:numRef>
              <c:f>Отчет!$K$12:$R$12</c:f>
              <c:numCache>
                <c:formatCode>General</c:formatCode>
                <c:ptCount val="8"/>
                <c:pt idx="0">
                  <c:v>0.21654779213311634</c:v>
                </c:pt>
                <c:pt idx="1">
                  <c:v>0.19525098112256153</c:v>
                </c:pt>
                <c:pt idx="2">
                  <c:v>0.16816389065358001</c:v>
                </c:pt>
                <c:pt idx="3">
                  <c:v>0.13200558732218912</c:v>
                </c:pt>
                <c:pt idx="4">
                  <c:v>0.104403003473449</c:v>
                </c:pt>
                <c:pt idx="5">
                  <c:v>6.8167576047672415E-2</c:v>
                </c:pt>
                <c:pt idx="6">
                  <c:v>2.7358750912724699E-2</c:v>
                </c:pt>
                <c:pt idx="7">
                  <c:v>-3.6419037896966221E-3</c:v>
                </c:pt>
              </c:numCache>
            </c:numRef>
          </c:yVal>
          <c:smooth val="1"/>
        </c:ser>
        <c:axId val="169028608"/>
        <c:axId val="169063936"/>
      </c:scatterChart>
      <c:valAx>
        <c:axId val="169028608"/>
        <c:scaling>
          <c:orientation val="minMax"/>
        </c:scaling>
        <c:axPos val="b"/>
        <c:majorGridlines/>
        <c:minorGridlines/>
        <c:title>
          <c:tx>
            <c:strRef>
              <c:f>Отчет!$B$11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69063936"/>
        <c:crosses val="autoZero"/>
        <c:crossBetween val="midCat"/>
      </c:valAx>
      <c:valAx>
        <c:axId val="169063936"/>
        <c:scaling>
          <c:orientation val="minMax"/>
        </c:scaling>
        <c:axPos val="l"/>
        <c:majorGridlines/>
        <c:minorGridlines/>
        <c:title>
          <c:tx>
            <c:strRef>
              <c:f>Отчет!$B$12</c:f>
              <c:strCache>
                <c:ptCount val="1"/>
                <c:pt idx="0">
                  <c:v>D(T)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9028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600"/>
            </a:pPr>
            <a:r>
              <a:rPr lang="ru-RU" sz="1600"/>
              <a:t>Зависимость константы диссоциации К</a:t>
            </a:r>
            <a:r>
              <a:rPr lang="ru-RU" sz="1100"/>
              <a:t>с</a:t>
            </a:r>
            <a:r>
              <a:rPr lang="ru-RU" sz="1600"/>
              <a:t> от температуры Т</a:t>
            </a:r>
          </a:p>
        </c:rich>
      </c:tx>
      <c:layout>
        <c:manualLayout>
          <c:xMode val="edge"/>
          <c:yMode val="edge"/>
          <c:x val="0.1287882528197489"/>
          <c:y val="6.2706270627062743E-2"/>
        </c:manualLayout>
      </c:layout>
    </c:title>
    <c:plotArea>
      <c:layout>
        <c:manualLayout>
          <c:layoutTarget val="inner"/>
          <c:xMode val="edge"/>
          <c:yMode val="edge"/>
          <c:x val="7.4969043941277722E-2"/>
          <c:y val="0.19819313427405733"/>
          <c:w val="0.65119216854649964"/>
          <c:h val="0.72572880122658012"/>
        </c:manualLayout>
      </c:layout>
      <c:scatterChart>
        <c:scatterStyle val="smoothMarker"/>
        <c:ser>
          <c:idx val="0"/>
          <c:order val="0"/>
          <c:tx>
            <c:strRef>
              <c:f>'Обратная задача'!$B$132:$H$132</c:f>
              <c:strCache>
                <c:ptCount val="1"/>
                <c:pt idx="0">
                  <c:v>Зависимость константы диссоциации Кс от температуры Т (табл)</c:v>
                </c:pt>
              </c:strCache>
            </c:strRef>
          </c:tx>
          <c:xVal>
            <c:numRef>
              <c:f>'Обратная задача'!$F$134:$J$134</c:f>
              <c:numCache>
                <c:formatCode>General</c:formatCode>
                <c:ptCount val="5"/>
                <c:pt idx="0">
                  <c:v>303.14999999999998</c:v>
                </c:pt>
                <c:pt idx="1">
                  <c:v>313.14999999999998</c:v>
                </c:pt>
                <c:pt idx="2">
                  <c:v>323.14999999999998</c:v>
                </c:pt>
                <c:pt idx="3">
                  <c:v>333.15</c:v>
                </c:pt>
                <c:pt idx="4">
                  <c:v>343.15</c:v>
                </c:pt>
              </c:numCache>
            </c:numRef>
          </c:xVal>
          <c:yVal>
            <c:numRef>
              <c:f>'Обратная задача'!$F$136:$J$136</c:f>
              <c:numCache>
                <c:formatCode>General</c:formatCode>
                <c:ptCount val="5"/>
                <c:pt idx="0">
                  <c:v>-9.4166018800775539</c:v>
                </c:pt>
                <c:pt idx="1">
                  <c:v>-8.7423720148138742</c:v>
                </c:pt>
                <c:pt idx="2">
                  <c:v>-8.1295582948051486</c:v>
                </c:pt>
                <c:pt idx="3">
                  <c:v>-7.5729168304180297</c:v>
                </c:pt>
                <c:pt idx="4">
                  <c:v>-7.0678361028071999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Отчет!$B$148</c:f>
              <c:strCache>
                <c:ptCount val="1"/>
                <c:pt idx="0">
                  <c:v>Зависимость константы диссоциации Кс от температуры Т (экспер)</c:v>
                </c:pt>
              </c:strCache>
            </c:strRef>
          </c:tx>
          <c:xVal>
            <c:numRef>
              <c:f>(Отчет!$E$150:$O$150,Отчет!$U$150:$AE$150)</c:f>
              <c:numCache>
                <c:formatCode>General</c:formatCode>
                <c:ptCount val="22"/>
                <c:pt idx="0">
                  <c:v>313.14999999999998</c:v>
                </c:pt>
                <c:pt idx="1">
                  <c:v>318.04999999999995</c:v>
                </c:pt>
                <c:pt idx="2">
                  <c:v>323.04999999999995</c:v>
                </c:pt>
                <c:pt idx="3">
                  <c:v>328.04999999999995</c:v>
                </c:pt>
                <c:pt idx="4">
                  <c:v>333.04999999999995</c:v>
                </c:pt>
                <c:pt idx="5">
                  <c:v>338.15</c:v>
                </c:pt>
                <c:pt idx="6">
                  <c:v>335.45</c:v>
                </c:pt>
                <c:pt idx="7">
                  <c:v>331.34999999999997</c:v>
                </c:pt>
                <c:pt idx="8">
                  <c:v>326.75</c:v>
                </c:pt>
                <c:pt idx="9">
                  <c:v>320.95</c:v>
                </c:pt>
                <c:pt idx="10">
                  <c:v>316.84999999999997</c:v>
                </c:pt>
                <c:pt idx="11">
                  <c:v>313.14999999999998</c:v>
                </c:pt>
                <c:pt idx="12">
                  <c:v>318.04999999999995</c:v>
                </c:pt>
                <c:pt idx="13">
                  <c:v>323.04999999999995</c:v>
                </c:pt>
                <c:pt idx="14">
                  <c:v>328.04999999999995</c:v>
                </c:pt>
                <c:pt idx="15">
                  <c:v>333.04999999999995</c:v>
                </c:pt>
                <c:pt idx="16">
                  <c:v>338.15</c:v>
                </c:pt>
                <c:pt idx="17">
                  <c:v>335.45</c:v>
                </c:pt>
                <c:pt idx="18">
                  <c:v>331.34999999999997</c:v>
                </c:pt>
                <c:pt idx="19">
                  <c:v>326.75</c:v>
                </c:pt>
                <c:pt idx="20">
                  <c:v>320.95</c:v>
                </c:pt>
                <c:pt idx="21">
                  <c:v>316.84999999999997</c:v>
                </c:pt>
              </c:numCache>
            </c:numRef>
          </c:xVal>
          <c:yVal>
            <c:numRef>
              <c:f>(Отчет!$E$152:$O$152,Отчет!$U$152:$AE$152)</c:f>
              <c:numCache>
                <c:formatCode>General</c:formatCode>
                <c:ptCount val="22"/>
                <c:pt idx="0">
                  <c:v>-9.7864166903900802</c:v>
                </c:pt>
                <c:pt idx="1">
                  <c:v>-8.9883535535891088</c:v>
                </c:pt>
                <c:pt idx="2">
                  <c:v>-8.4201136532559744</c:v>
                </c:pt>
                <c:pt idx="3">
                  <c:v>-7.9953169930497143</c:v>
                </c:pt>
                <c:pt idx="4">
                  <c:v>-7.6704511353566183</c:v>
                </c:pt>
                <c:pt idx="5">
                  <c:v>-7.4019940913655526</c:v>
                </c:pt>
                <c:pt idx="6">
                  <c:v>-7.5208547131802668</c:v>
                </c:pt>
                <c:pt idx="7">
                  <c:v>-7.7558820105895432</c:v>
                </c:pt>
                <c:pt idx="8">
                  <c:v>-8.0835960515353449</c:v>
                </c:pt>
                <c:pt idx="9">
                  <c:v>-8.6275262461135789</c:v>
                </c:pt>
                <c:pt idx="10">
                  <c:v>-9.1359372287770118</c:v>
                </c:pt>
                <c:pt idx="11">
                  <c:v>-9.7245503327844531</c:v>
                </c:pt>
                <c:pt idx="12">
                  <c:v>-8.9455271804528493</c:v>
                </c:pt>
                <c:pt idx="13">
                  <c:v>-8.3787493857716377</c:v>
                </c:pt>
                <c:pt idx="14">
                  <c:v>-7.9398044617003043</c:v>
                </c:pt>
                <c:pt idx="15">
                  <c:v>-7.6002812633631214</c:v>
                </c:pt>
                <c:pt idx="16">
                  <c:v>-7.307420543911773</c:v>
                </c:pt>
                <c:pt idx="17">
                  <c:v>-7.444284114167754</c:v>
                </c:pt>
                <c:pt idx="18">
                  <c:v>-7.6969560987116568</c:v>
                </c:pt>
                <c:pt idx="19">
                  <c:v>-8.0508204210777752</c:v>
                </c:pt>
                <c:pt idx="20">
                  <c:v>-8.6042116073607424</c:v>
                </c:pt>
                <c:pt idx="21">
                  <c:v>-9.1231641382999911</c:v>
                </c:pt>
              </c:numCache>
            </c:numRef>
          </c:yVal>
          <c:smooth val="1"/>
        </c:ser>
        <c:axId val="49512832"/>
        <c:axId val="49514752"/>
      </c:scatterChart>
      <c:valAx>
        <c:axId val="49512832"/>
        <c:scaling>
          <c:orientation val="minMax"/>
          <c:max val="380"/>
          <c:min val="260"/>
        </c:scaling>
        <c:axPos val="b"/>
        <c:majorGridlines/>
        <c:minorGridlines/>
        <c:title>
          <c:tx>
            <c:strRef>
              <c:f>'Обратная задача'!$B$134</c:f>
              <c:strCache>
                <c:ptCount val="1"/>
                <c:pt idx="0">
                  <c:v>T, K</c:v>
                </c:pt>
              </c:strCache>
            </c:strRef>
          </c:tx>
          <c:layout>
            <c:manualLayout>
              <c:xMode val="edge"/>
              <c:yMode val="edge"/>
              <c:x val="0.74565284004571231"/>
              <c:y val="0.94981835191393149"/>
            </c:manualLayout>
          </c:layout>
        </c:title>
        <c:numFmt formatCode="General" sourceLinked="1"/>
        <c:tickLblPos val="nextTo"/>
        <c:crossAx val="49514752"/>
        <c:crosses val="autoZero"/>
        <c:crossBetween val="midCat"/>
      </c:valAx>
      <c:valAx>
        <c:axId val="49514752"/>
        <c:scaling>
          <c:orientation val="minMax"/>
        </c:scaling>
        <c:axPos val="l"/>
        <c:majorGridlines/>
        <c:minorGridlines/>
        <c:title>
          <c:tx>
            <c:strRef>
              <c:f>'Обратная задача'!$B$135</c:f>
              <c:strCache>
                <c:ptCount val="1"/>
                <c:pt idx="0">
                  <c:v>Кс,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49512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03189792663482"/>
          <c:y val="0.40461760349263282"/>
          <c:w val="0.25039872408293462"/>
          <c:h val="0.3509295496478784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 концентрации </a:t>
            </a:r>
            <a:r>
              <a:rPr lang="en-US" sz="1400"/>
              <a:t>NO</a:t>
            </a:r>
            <a:r>
              <a:rPr lang="en-US" sz="1000"/>
              <a:t>2</a:t>
            </a:r>
            <a:r>
              <a:rPr lang="en-US" sz="1400"/>
              <a:t> </a:t>
            </a:r>
            <a:r>
              <a:rPr lang="ru-RU" sz="1400"/>
              <a:t>от температуры Т при разных длинах волн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Отчет!$B$41</c:f>
              <c:strCache>
                <c:ptCount val="1"/>
                <c:pt idx="0">
                  <c:v>Зависимость концентрации NO2 от Т (λ = 490 нм)</c:v>
                </c:pt>
              </c:strCache>
            </c:strRef>
          </c:tx>
          <c:xVal>
            <c:numRef>
              <c:f>Отчет!$C$43:$R$43</c:f>
              <c:numCache>
                <c:formatCode>General</c:formatCode>
                <c:ptCount val="16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</c:numCache>
            </c:numRef>
          </c:xVal>
          <c:yVal>
            <c:numRef>
              <c:f>Отчет!$C$44:$R$44</c:f>
              <c:numCache>
                <c:formatCode>General</c:formatCode>
                <c:ptCount val="16"/>
                <c:pt idx="0">
                  <c:v>3.1870679134675923E-5</c:v>
                </c:pt>
                <c:pt idx="1">
                  <c:v>3.4133377385848281E-4</c:v>
                </c:pt>
                <c:pt idx="2">
                  <c:v>6.6153288769313639E-4</c:v>
                </c:pt>
                <c:pt idx="3">
                  <c:v>9.5715473852598092E-4</c:v>
                </c:pt>
                <c:pt idx="4">
                  <c:v>1.2346919776008152E-3</c:v>
                </c:pt>
                <c:pt idx="5">
                  <c:v>1.4845068982277231E-3</c:v>
                </c:pt>
                <c:pt idx="6">
                  <c:v>1.7017960624203647E-3</c:v>
                </c:pt>
                <c:pt idx="7">
                  <c:v>1.8988890453047449E-3</c:v>
                </c:pt>
                <c:pt idx="8">
                  <c:v>1.8096706841713469E-3</c:v>
                </c:pt>
                <c:pt idx="9">
                  <c:v>1.6424065308504757E-3</c:v>
                </c:pt>
                <c:pt idx="10">
                  <c:v>1.4294401845236205E-3</c:v>
                </c:pt>
                <c:pt idx="11">
                  <c:v>1.1262093748743696E-3</c:v>
                </c:pt>
                <c:pt idx="12">
                  <c:v>8.9477517859859967E-4</c:v>
                </c:pt>
                <c:pt idx="13">
                  <c:v>5.7415080480755843E-4</c:v>
                </c:pt>
                <c:pt idx="14">
                  <c:v>2.1387308452440194E-4</c:v>
                </c:pt>
                <c:pt idx="15">
                  <c:v>-7.037790158573884E-5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Отчет!$B$46</c:f>
              <c:strCache>
                <c:ptCount val="1"/>
                <c:pt idx="0">
                  <c:v>Зависимость концентрации NO2 от Т (λ = 540 нм)</c:v>
                </c:pt>
              </c:strCache>
            </c:strRef>
          </c:tx>
          <c:xVal>
            <c:numRef>
              <c:f>Отчет!$C$48:$R$48</c:f>
              <c:numCache>
                <c:formatCode>General</c:formatCode>
                <c:ptCount val="16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</c:numCache>
            </c:numRef>
          </c:xVal>
          <c:yVal>
            <c:numRef>
              <c:f>Отчет!$C$49:$R$49</c:f>
              <c:numCache>
                <c:formatCode>General</c:formatCode>
                <c:ptCount val="16"/>
                <c:pt idx="0">
                  <c:v>6.3592491885813382E-5</c:v>
                </c:pt>
                <c:pt idx="1">
                  <c:v>3.7263063832137952E-4</c:v>
                </c:pt>
                <c:pt idx="2">
                  <c:v>6.8102089395994997E-4</c:v>
                </c:pt>
                <c:pt idx="3">
                  <c:v>9.759700364694473E-4</c:v>
                </c:pt>
                <c:pt idx="4">
                  <c:v>1.257360612140914E-3</c:v>
                </c:pt>
                <c:pt idx="5">
                  <c:v>1.5199990971680403E-3</c:v>
                </c:pt>
                <c:pt idx="6">
                  <c:v>1.7517813755198125E-3</c:v>
                </c:pt>
                <c:pt idx="7">
                  <c:v>1.9720753795921231E-3</c:v>
                </c:pt>
                <c:pt idx="8">
                  <c:v>1.8667913114923823E-3</c:v>
                </c:pt>
                <c:pt idx="9">
                  <c:v>1.6831981131255305E-3</c:v>
                </c:pt>
                <c:pt idx="10">
                  <c:v>1.4496887125308622E-3</c:v>
                </c:pt>
                <c:pt idx="11">
                  <c:v>1.1379792010533544E-3</c:v>
                </c:pt>
                <c:pt idx="12">
                  <c:v>9.0002589201249137E-4</c:v>
                </c:pt>
                <c:pt idx="13">
                  <c:v>5.8765151765234841E-4</c:v>
                </c:pt>
                <c:pt idx="14">
                  <c:v>2.3585130097176466E-4</c:v>
                </c:pt>
                <c:pt idx="15">
                  <c:v>-3.139572232497088E-5</c:v>
                </c:pt>
              </c:numCache>
            </c:numRef>
          </c:yVal>
          <c:smooth val="1"/>
        </c:ser>
        <c:axId val="168446208"/>
        <c:axId val="168452480"/>
      </c:scatterChart>
      <c:valAx>
        <c:axId val="168446208"/>
        <c:scaling>
          <c:orientation val="minMax"/>
        </c:scaling>
        <c:axPos val="b"/>
        <c:majorGridlines/>
        <c:minorGridlines/>
        <c:title>
          <c:tx>
            <c:strRef>
              <c:f>Отчет!$B$48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68452480"/>
        <c:crosses val="autoZero"/>
        <c:crossBetween val="midCat"/>
      </c:valAx>
      <c:valAx>
        <c:axId val="168452480"/>
        <c:scaling>
          <c:orientation val="minMax"/>
        </c:scaling>
        <c:axPos val="l"/>
        <c:majorGridlines/>
        <c:minorGridlines/>
        <c:title>
          <c:tx>
            <c:strRef>
              <c:f>Отчет!$B$49</c:f>
              <c:strCache>
                <c:ptCount val="1"/>
                <c:pt idx="0">
                  <c:v>[NO2],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8446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94045565621073"/>
          <c:y val="0.397327863142384"/>
          <c:w val="0.30467503961941017"/>
          <c:h val="0.21492304736956577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Отчет!$B$76</c:f>
              <c:strCache>
                <c:ptCount val="1"/>
                <c:pt idx="0">
                  <c:v>Зависимость степени диссоциации α от температуры Т</c:v>
                </c:pt>
              </c:strCache>
            </c:strRef>
          </c:tx>
          <c:xVal>
            <c:numRef>
              <c:f>Отчет!$C$78:$AH$78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Отчет!$C$81:$AH$81</c:f>
              <c:numCache>
                <c:formatCode>General</c:formatCode>
                <c:ptCount val="32"/>
                <c:pt idx="0">
                  <c:v>5.494944678392402E-3</c:v>
                </c:pt>
                <c:pt idx="1">
                  <c:v>5.8850650665255667E-2</c:v>
                </c:pt>
                <c:pt idx="2">
                  <c:v>0.11405739442985112</c:v>
                </c:pt>
                <c:pt idx="3">
                  <c:v>0.16502667905620361</c:v>
                </c:pt>
                <c:pt idx="4">
                  <c:v>0.21287792717255435</c:v>
                </c:pt>
                <c:pt idx="5">
                  <c:v>0.25594946521167644</c:v>
                </c:pt>
                <c:pt idx="6">
                  <c:v>0.29341311421040772</c:v>
                </c:pt>
                <c:pt idx="7">
                  <c:v>0.32739466298357672</c:v>
                </c:pt>
                <c:pt idx="8">
                  <c:v>0.31201218692609428</c:v>
                </c:pt>
                <c:pt idx="9">
                  <c:v>0.28317353980180615</c:v>
                </c:pt>
                <c:pt idx="10">
                  <c:v>0.24645520422821043</c:v>
                </c:pt>
                <c:pt idx="11">
                  <c:v>0.19417403015075338</c:v>
                </c:pt>
                <c:pt idx="12">
                  <c:v>0.15427158251699993</c:v>
                </c:pt>
                <c:pt idx="13">
                  <c:v>9.8991518070268708E-2</c:v>
                </c:pt>
                <c:pt idx="14">
                  <c:v>3.6874669745586543E-2</c:v>
                </c:pt>
                <c:pt idx="15">
                  <c:v>-1.2134120963058419E-2</c:v>
                </c:pt>
                <c:pt idx="16">
                  <c:v>1.0964222738933342E-2</c:v>
                </c:pt>
                <c:pt idx="17">
                  <c:v>6.42466617795482E-2</c:v>
                </c:pt>
                <c:pt idx="18">
                  <c:v>0.11741739551033621</c:v>
                </c:pt>
                <c:pt idx="19">
                  <c:v>0.16827069594300817</c:v>
                </c:pt>
                <c:pt idx="20">
                  <c:v>0.21678631243808866</c:v>
                </c:pt>
                <c:pt idx="21">
                  <c:v>0.26206880985655867</c:v>
                </c:pt>
                <c:pt idx="22">
                  <c:v>0.30203127164134697</c:v>
                </c:pt>
                <c:pt idx="23">
                  <c:v>0.34001299648140054</c:v>
                </c:pt>
                <c:pt idx="24">
                  <c:v>0.32186057094696241</c:v>
                </c:pt>
                <c:pt idx="25">
                  <c:v>0.29020657122853971</c:v>
                </c:pt>
                <c:pt idx="26">
                  <c:v>0.24994632974670042</c:v>
                </c:pt>
                <c:pt idx="27">
                  <c:v>0.19620331052644041</c:v>
                </c:pt>
                <c:pt idx="28">
                  <c:v>0.15517687793318818</c:v>
                </c:pt>
                <c:pt idx="29">
                  <c:v>0.10131922718143939</c:v>
                </c:pt>
                <c:pt idx="30">
                  <c:v>4.0664017408924939E-2</c:v>
                </c:pt>
                <c:pt idx="31">
                  <c:v>-5.4130555732708422E-3</c:v>
                </c:pt>
              </c:numCache>
            </c:numRef>
          </c:yVal>
          <c:smooth val="1"/>
        </c:ser>
        <c:axId val="168485248"/>
        <c:axId val="168487168"/>
      </c:scatterChart>
      <c:valAx>
        <c:axId val="168485248"/>
        <c:scaling>
          <c:orientation val="minMax"/>
        </c:scaling>
        <c:axPos val="b"/>
        <c:majorGridlines/>
        <c:minorGridlines/>
        <c:title>
          <c:tx>
            <c:strRef>
              <c:f>Отчет!$B$78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68487168"/>
        <c:crosses val="autoZero"/>
        <c:crossBetween val="midCat"/>
      </c:valAx>
      <c:valAx>
        <c:axId val="168487168"/>
        <c:scaling>
          <c:orientation val="minMax"/>
        </c:scaling>
        <c:axPos val="l"/>
        <c:majorGridlines/>
        <c:minorGridlines/>
        <c:title>
          <c:tx>
            <c:strRef>
              <c:f>Отчет!$B$81</c:f>
              <c:strCache>
                <c:ptCount val="1"/>
                <c:pt idx="0">
                  <c:v>α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8485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26650437847355"/>
          <c:y val="0.42904635536575242"/>
          <c:w val="0.33467734387240716"/>
          <c:h val="0.14672364672364668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Отчет!$B$107</c:f>
              <c:strCache>
                <c:ptCount val="1"/>
                <c:pt idx="0">
                  <c:v>Зависимость константы диссоциации Кр от температуры Т</c:v>
                </c:pt>
              </c:strCache>
            </c:strRef>
          </c:tx>
          <c:xVal>
            <c:numRef>
              <c:f>Отчет!$C$109:$AH$109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Отчет!$C$110:$AH$110</c:f>
              <c:numCache>
                <c:formatCode>General</c:formatCode>
                <c:ptCount val="32"/>
                <c:pt idx="0">
                  <c:v>2.930396862721482E-4</c:v>
                </c:pt>
                <c:pt idx="1">
                  <c:v>3.6080386565935353E-2</c:v>
                </c:pt>
                <c:pt idx="2">
                  <c:v>0.14635234924182716</c:v>
                </c:pt>
                <c:pt idx="3">
                  <c:v>0.33016961134023037</c:v>
                </c:pt>
                <c:pt idx="4">
                  <c:v>0.59196345608471423</c:v>
                </c:pt>
                <c:pt idx="5">
                  <c:v>0.91928894871553046</c:v>
                </c:pt>
                <c:pt idx="6">
                  <c:v>1.2915430433262214</c:v>
                </c:pt>
                <c:pt idx="7">
                  <c:v>1.715134769479099</c:v>
                </c:pt>
                <c:pt idx="8">
                  <c:v>1.5107623160328632</c:v>
                </c:pt>
                <c:pt idx="9">
                  <c:v>1.1797344556951948</c:v>
                </c:pt>
                <c:pt idx="10">
                  <c:v>0.83827880466476457</c:v>
                </c:pt>
                <c:pt idx="11">
                  <c:v>0.47795211434949714</c:v>
                </c:pt>
                <c:pt idx="12">
                  <c:v>0.28379231732876009</c:v>
                </c:pt>
                <c:pt idx="13">
                  <c:v>0.10791443193278701</c:v>
                </c:pt>
                <c:pt idx="14">
                  <c:v>1.3756682531698684E-2</c:v>
                </c:pt>
                <c:pt idx="15">
                  <c:v>1.3975769577128975E-3</c:v>
                </c:pt>
                <c:pt idx="16">
                  <c:v>1.1731417324123974E-3</c:v>
                </c:pt>
                <c:pt idx="17">
                  <c:v>4.3248090706930337E-2</c:v>
                </c:pt>
                <c:pt idx="18">
                  <c:v>0.15569258013617585</c:v>
                </c:pt>
                <c:pt idx="19">
                  <c:v>0.34461672908954266</c:v>
                </c:pt>
                <c:pt idx="20">
                  <c:v>0.61696307178623488</c:v>
                </c:pt>
                <c:pt idx="21">
                  <c:v>0.97176404286273199</c:v>
                </c:pt>
                <c:pt idx="22">
                  <c:v>1.3854258054646249</c:v>
                </c:pt>
                <c:pt idx="23">
                  <c:v>1.8852589920422729</c:v>
                </c:pt>
                <c:pt idx="24">
                  <c:v>1.6309863711990507</c:v>
                </c:pt>
                <c:pt idx="25">
                  <c:v>1.2513403883556133</c:v>
                </c:pt>
                <c:pt idx="26">
                  <c:v>0.86620913784307119</c:v>
                </c:pt>
                <c:pt idx="27">
                  <c:v>0.4892263114626168</c:v>
                </c:pt>
                <c:pt idx="28">
                  <c:v>0.28744047177798637</c:v>
                </c:pt>
                <c:pt idx="29">
                  <c:v>0.11334196207916997</c:v>
                </c:pt>
                <c:pt idx="30">
                  <c:v>1.6795389200337386E-2</c:v>
                </c:pt>
                <c:pt idx="31">
                  <c:v>2.799868334453342E-4</c:v>
                </c:pt>
              </c:numCache>
            </c:numRef>
          </c:yVal>
          <c:smooth val="1"/>
        </c:ser>
        <c:axId val="169306368"/>
        <c:axId val="169312640"/>
      </c:scatterChart>
      <c:valAx>
        <c:axId val="169306368"/>
        <c:scaling>
          <c:orientation val="minMax"/>
        </c:scaling>
        <c:axPos val="b"/>
        <c:majorGridlines/>
        <c:minorGridlines/>
        <c:title>
          <c:tx>
            <c:strRef>
              <c:f>Отчет!$B$109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69312640"/>
        <c:crosses val="autoZero"/>
        <c:crossBetween val="midCat"/>
      </c:valAx>
      <c:valAx>
        <c:axId val="169312640"/>
        <c:scaling>
          <c:orientation val="minMax"/>
        </c:scaling>
        <c:axPos val="l"/>
        <c:majorGridlines/>
        <c:minorGridlines/>
        <c:title>
          <c:tx>
            <c:strRef>
              <c:f>Отчет!$B$110</c:f>
              <c:strCache>
                <c:ptCount val="1"/>
                <c:pt idx="0">
                  <c:v>Кр, атм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930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 sz="1400"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Отчет!$B$148</c:f>
              <c:strCache>
                <c:ptCount val="1"/>
                <c:pt idx="0">
                  <c:v>Зависимость константы диссоциации Кс от температуры Т (экспер)</c:v>
                </c:pt>
              </c:strCache>
            </c:strRef>
          </c:tx>
          <c:xVal>
            <c:numRef>
              <c:f>Отчет!$C$150:$AH$150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Отчет!$C$152:$AH$152</c:f>
              <c:numCache>
                <c:formatCode>General</c:formatCode>
                <c:ptCount val="32"/>
                <c:pt idx="0">
                  <c:v>-15.967756225577501</c:v>
                </c:pt>
                <c:pt idx="1">
                  <c:v>-11.170264144833915</c:v>
                </c:pt>
                <c:pt idx="2">
                  <c:v>-9.7864166903900802</c:v>
                </c:pt>
                <c:pt idx="3">
                  <c:v>-8.9883535535891088</c:v>
                </c:pt>
                <c:pt idx="4">
                  <c:v>-8.4201136532559744</c:v>
                </c:pt>
                <c:pt idx="5">
                  <c:v>-7.9953169930497143</c:v>
                </c:pt>
                <c:pt idx="6">
                  <c:v>-7.6704511353566183</c:v>
                </c:pt>
                <c:pt idx="7">
                  <c:v>-7.4019940913655526</c:v>
                </c:pt>
                <c:pt idx="8">
                  <c:v>-7.5208547131802668</c:v>
                </c:pt>
                <c:pt idx="9">
                  <c:v>-7.7558820105895432</c:v>
                </c:pt>
                <c:pt idx="10">
                  <c:v>-8.0835960515353449</c:v>
                </c:pt>
                <c:pt idx="11">
                  <c:v>-8.6275262461135789</c:v>
                </c:pt>
                <c:pt idx="12">
                  <c:v>-9.1359372287770118</c:v>
                </c:pt>
                <c:pt idx="13">
                  <c:v>-10.086614415031477</c:v>
                </c:pt>
                <c:pt idx="14">
                  <c:v>-12.128301916210718</c:v>
                </c:pt>
                <c:pt idx="15">
                  <c:v>-14.400941659224461</c:v>
                </c:pt>
                <c:pt idx="16">
                  <c:v>-14.580623603099806</c:v>
                </c:pt>
                <c:pt idx="17">
                  <c:v>-10.989060467205459</c:v>
                </c:pt>
                <c:pt idx="18">
                  <c:v>-9.7245503327844531</c:v>
                </c:pt>
                <c:pt idx="19">
                  <c:v>-8.9455271804528493</c:v>
                </c:pt>
                <c:pt idx="20">
                  <c:v>-8.3787493857716377</c:v>
                </c:pt>
                <c:pt idx="21">
                  <c:v>-7.9398044617003043</c:v>
                </c:pt>
                <c:pt idx="22">
                  <c:v>-7.6002812633631214</c:v>
                </c:pt>
                <c:pt idx="23">
                  <c:v>-7.307420543911773</c:v>
                </c:pt>
                <c:pt idx="24">
                  <c:v>-7.444284114167754</c:v>
                </c:pt>
                <c:pt idx="25">
                  <c:v>-7.6969560987116568</c:v>
                </c:pt>
                <c:pt idx="26">
                  <c:v>-8.0508204210777752</c:v>
                </c:pt>
                <c:pt idx="27">
                  <c:v>-8.6042116073607424</c:v>
                </c:pt>
                <c:pt idx="28">
                  <c:v>-9.1231641382999911</c:v>
                </c:pt>
                <c:pt idx="29">
                  <c:v>-10.037543569167395</c:v>
                </c:pt>
                <c:pt idx="30">
                  <c:v>-11.928722228188386</c:v>
                </c:pt>
                <c:pt idx="31">
                  <c:v>-16.008694352214302</c:v>
                </c:pt>
              </c:numCache>
            </c:numRef>
          </c:yVal>
          <c:smooth val="1"/>
        </c:ser>
        <c:axId val="169619840"/>
        <c:axId val="169621760"/>
      </c:scatterChart>
      <c:valAx>
        <c:axId val="169619840"/>
        <c:scaling>
          <c:orientation val="minMax"/>
        </c:scaling>
        <c:axPos val="b"/>
        <c:majorGridlines/>
        <c:minorGridlines/>
        <c:title>
          <c:tx>
            <c:strRef>
              <c:f>Отчет!$B$150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69621760"/>
        <c:crosses val="autoZero"/>
        <c:crossBetween val="midCat"/>
      </c:valAx>
      <c:valAx>
        <c:axId val="169621760"/>
        <c:scaling>
          <c:orientation val="minMax"/>
        </c:scaling>
        <c:axPos val="l"/>
        <c:majorGridlines/>
        <c:minorGridlines/>
        <c:title>
          <c:tx>
            <c:strRef>
              <c:f>Отчет!$B$151</c:f>
              <c:strCache>
                <c:ptCount val="1"/>
                <c:pt idx="0">
                  <c:v>Кс,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9619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Отчет!$B$138</c:f>
          <c:strCache>
            <c:ptCount val="1"/>
            <c:pt idx="0">
              <c:v>Зависимость ln(Кр) от 1/Т</c:v>
            </c:pt>
          </c:strCache>
        </c:strRef>
      </c:tx>
      <c:layout/>
      <c:txPr>
        <a:bodyPr/>
        <a:lstStyle/>
        <a:p>
          <a:pPr>
            <a:defRPr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rendline>
            <c:spPr>
              <a:ln>
                <a:round/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МНК!$C$2:$Q$2</c:f>
              <c:numCache>
                <c:formatCode>General</c:formatCode>
                <c:ptCount val="15"/>
                <c:pt idx="0">
                  <c:v>3.2462262619704597E-3</c:v>
                </c:pt>
                <c:pt idx="1">
                  <c:v>3.1933578157432542E-3</c:v>
                </c:pt>
                <c:pt idx="2">
                  <c:v>3.1441597233139449E-3</c:v>
                </c:pt>
                <c:pt idx="3">
                  <c:v>3.0954960532425324E-3</c:v>
                </c:pt>
                <c:pt idx="4">
                  <c:v>3.048315805517452E-3</c:v>
                </c:pt>
                <c:pt idx="5">
                  <c:v>3.0025521693439429E-3</c:v>
                </c:pt>
                <c:pt idx="6">
                  <c:v>2.9572674848440043E-3</c:v>
                </c:pt>
                <c:pt idx="7">
                  <c:v>2.9810702042033089E-3</c:v>
                </c:pt>
                <c:pt idx="8">
                  <c:v>3.0179568432171424E-3</c:v>
                </c:pt>
                <c:pt idx="9">
                  <c:v>3.06044376434583E-3</c:v>
                </c:pt>
                <c:pt idx="10">
                  <c:v>3.1157501168406296E-3</c:v>
                </c:pt>
                <c:pt idx="11">
                  <c:v>3.1560675398453531E-3</c:v>
                </c:pt>
                <c:pt idx="12">
                  <c:v>3.2076984763432237E-3</c:v>
                </c:pt>
                <c:pt idx="13">
                  <c:v>3.2663726931242859E-3</c:v>
                </c:pt>
                <c:pt idx="14">
                  <c:v>3.3129037601457682E-3</c:v>
                </c:pt>
              </c:numCache>
            </c:numRef>
          </c:xVal>
          <c:yVal>
            <c:numRef>
              <c:f>МНК!$C$3:$AG$3</c:f>
              <c:numCache>
                <c:formatCode>General</c:formatCode>
                <c:ptCount val="31"/>
                <c:pt idx="0">
                  <c:v>-3.322005869711647</c:v>
                </c:pt>
                <c:pt idx="1">
                  <c:v>-1.9217382137569714</c:v>
                </c:pt>
                <c:pt idx="2">
                  <c:v>-1.1081487828026082</c:v>
                </c:pt>
                <c:pt idx="3">
                  <c:v>-0.52431037559011207</c:v>
                </c:pt>
                <c:pt idx="4">
                  <c:v>-8.4154789597140484E-2</c:v>
                </c:pt>
                <c:pt idx="5">
                  <c:v>0.25583766116425738</c:v>
                </c:pt>
                <c:pt idx="6">
                  <c:v>0.53949166031708451</c:v>
                </c:pt>
                <c:pt idx="7">
                  <c:v>0.41261436849031796</c:v>
                </c:pt>
                <c:pt idx="8">
                  <c:v>0.16528937560638018</c:v>
                </c:pt>
                <c:pt idx="9">
                  <c:v>-0.17640453136932657</c:v>
                </c:pt>
                <c:pt idx="10">
                  <c:v>-0.73824473069410324</c:v>
                </c:pt>
                <c:pt idx="11">
                  <c:v>-1.2595125853457985</c:v>
                </c:pt>
                <c:pt idx="12">
                  <c:v>-2.2264166628096422</c:v>
                </c:pt>
                <c:pt idx="13">
                  <c:v>-4.2862305706250678</c:v>
                </c:pt>
                <c:pt idx="14">
                  <c:v>-6.5730152863203388</c:v>
                </c:pt>
                <c:pt idx="15">
                  <c:v>-6.7480698876139575</c:v>
                </c:pt>
                <c:pt idx="16">
                  <c:v>-3.140802192083191</c:v>
                </c:pt>
                <c:pt idx="17">
                  <c:v>-1.8598718561513436</c:v>
                </c:pt>
                <c:pt idx="18">
                  <c:v>-1.0653224096663483</c:v>
                </c:pt>
                <c:pt idx="19">
                  <c:v>-0.48294610810577493</c:v>
                </c:pt>
                <c:pt idx="20">
                  <c:v>-2.8642258247730399E-2</c:v>
                </c:pt>
                <c:pt idx="21">
                  <c:v>0.3260075331577551</c:v>
                </c:pt>
                <c:pt idx="22">
                  <c:v>0.63406520777086384</c:v>
                </c:pt>
                <c:pt idx="23">
                  <c:v>0.48918496750283053</c:v>
                </c:pt>
                <c:pt idx="24">
                  <c:v>0.22421528748426703</c:v>
                </c:pt>
                <c:pt idx="25">
                  <c:v>-0.14362890091175576</c:v>
                </c:pt>
                <c:pt idx="26">
                  <c:v>-0.71493009194126722</c:v>
                </c:pt>
                <c:pt idx="27">
                  <c:v>-1.2467394948687773</c:v>
                </c:pt>
                <c:pt idx="28">
                  <c:v>-2.1773458169455613</c:v>
                </c:pt>
                <c:pt idx="29">
                  <c:v>-4.0866508826027355</c:v>
                </c:pt>
                <c:pt idx="30">
                  <c:v>-8.1807679793101808</c:v>
                </c:pt>
              </c:numCache>
            </c:numRef>
          </c:yVal>
          <c:smooth val="1"/>
        </c:ser>
        <c:axId val="169782656"/>
        <c:axId val="169797120"/>
      </c:scatterChart>
      <c:valAx>
        <c:axId val="169782656"/>
        <c:scaling>
          <c:orientation val="minMax"/>
        </c:scaling>
        <c:axPos val="b"/>
        <c:majorGridlines/>
        <c:minorGridlines>
          <c:spPr>
            <a:ln>
              <a:solidFill>
                <a:srgbClr val="4F81BD">
                  <a:alpha val="49000"/>
                </a:srgbClr>
              </a:solidFill>
              <a:headEnd w="sm" len="sm"/>
              <a:tailEnd type="none" w="sm" len="sm"/>
            </a:ln>
          </c:spPr>
        </c:minorGridlines>
        <c:title>
          <c:tx>
            <c:strRef>
              <c:f>МНК!$A$2</c:f>
              <c:strCache>
                <c:ptCount val="1"/>
                <c:pt idx="0">
                  <c:v>1/Т, 1/К</c:v>
                </c:pt>
              </c:strCache>
            </c:strRef>
          </c:tx>
          <c:layout/>
        </c:title>
        <c:numFmt formatCode="General" sourceLinked="1"/>
        <c:tickLblPos val="nextTo"/>
        <c:crossAx val="169797120"/>
        <c:crosses val="autoZero"/>
        <c:crossBetween val="midCat"/>
      </c:valAx>
      <c:valAx>
        <c:axId val="169797120"/>
        <c:scaling>
          <c:orientation val="minMax"/>
        </c:scaling>
        <c:axPos val="l"/>
        <c:majorGridlines/>
        <c:minorGridlines/>
        <c:title>
          <c:tx>
            <c:strRef>
              <c:f>МНК!$A$3</c:f>
              <c:strCache>
                <c:ptCount val="1"/>
                <c:pt idx="0">
                  <c:v>ln(Kp)</c:v>
                </c:pt>
              </c:strCache>
            </c:strRef>
          </c:tx>
          <c:layout/>
        </c:title>
        <c:numFmt formatCode="General" sourceLinked="1"/>
        <c:tickLblPos val="nextTo"/>
        <c:crossAx val="169782656"/>
        <c:crosses val="autoZero"/>
        <c:crossBetween val="midCat"/>
      </c:valAx>
    </c:plotArea>
    <c:legend>
      <c:legendPos val="r"/>
      <c:layout/>
    </c:legend>
    <c:plotVisOnly val="1"/>
  </c:chart>
  <c:spPr>
    <a:noFill/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Зависимость С</a:t>
            </a:r>
            <a:r>
              <a:rPr lang="ru-RU" sz="1050"/>
              <a:t>р</a:t>
            </a:r>
            <a:r>
              <a:rPr lang="ru-RU" sz="1400"/>
              <a:t> от температуры Т для </a:t>
            </a:r>
            <a:r>
              <a:rPr lang="en-US" sz="1400"/>
              <a:t>N</a:t>
            </a:r>
            <a:r>
              <a:rPr lang="en-US" sz="1050"/>
              <a:t>2</a:t>
            </a:r>
            <a:r>
              <a:rPr lang="en-US" sz="1400"/>
              <a:t>O</a:t>
            </a:r>
            <a:r>
              <a:rPr lang="en-US" sz="1050"/>
              <a:t>4</a:t>
            </a:r>
            <a:endParaRPr lang="ru-RU" sz="1400"/>
          </a:p>
        </c:rich>
      </c:tx>
      <c:layout/>
    </c:title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'Обратная задача'!$C$10:$L$10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294.29999999999995</c:v>
                </c:pt>
                <c:pt idx="4">
                  <c:v>298.14999999999998</c:v>
                </c:pt>
                <c:pt idx="5">
                  <c:v>303.14999999999998</c:v>
                </c:pt>
                <c:pt idx="6">
                  <c:v>313.14999999999998</c:v>
                </c:pt>
                <c:pt idx="7">
                  <c:v>323.14999999999998</c:v>
                </c:pt>
                <c:pt idx="8">
                  <c:v>333.15</c:v>
                </c:pt>
                <c:pt idx="9">
                  <c:v>343.15</c:v>
                </c:pt>
              </c:numCache>
            </c:numRef>
          </c:xVal>
          <c:yVal>
            <c:numRef>
              <c:f>'Обратная задача'!$C$11:$L$11</c:f>
              <c:numCache>
                <c:formatCode>0.00</c:formatCode>
                <c:ptCount val="10"/>
                <c:pt idx="0">
                  <c:v>138.29666101200002</c:v>
                </c:pt>
                <c:pt idx="1">
                  <c:v>139.837570884</c:v>
                </c:pt>
                <c:pt idx="2">
                  <c:v>141.37848075600004</c:v>
                </c:pt>
                <c:pt idx="3">
                  <c:v>141.763708224</c:v>
                </c:pt>
                <c:pt idx="4">
                  <c:v>142.53416315999999</c:v>
                </c:pt>
                <c:pt idx="5">
                  <c:v>143.30461809600001</c:v>
                </c:pt>
                <c:pt idx="6">
                  <c:v>144.845527968</c:v>
                </c:pt>
                <c:pt idx="7">
                  <c:v>146.38643784000004</c:v>
                </c:pt>
                <c:pt idx="8">
                  <c:v>147.92734771200003</c:v>
                </c:pt>
                <c:pt idx="9">
                  <c:v>149.85348505200002</c:v>
                </c:pt>
              </c:numCache>
            </c:numRef>
          </c:yVal>
          <c:smooth val="1"/>
        </c:ser>
        <c:axId val="49428736"/>
        <c:axId val="49443200"/>
      </c:scatterChart>
      <c:valAx>
        <c:axId val="49428736"/>
        <c:scaling>
          <c:orientation val="minMax"/>
          <c:min val="200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49443200"/>
        <c:crosses val="autoZero"/>
        <c:crossBetween val="midCat"/>
      </c:valAx>
      <c:valAx>
        <c:axId val="49443200"/>
        <c:scaling>
          <c:orientation val="minMax"/>
        </c:scaling>
        <c:axPos val="l"/>
        <c:majorGridlines/>
        <c:minorGridlines/>
        <c:title>
          <c:tx>
            <c:strRef>
              <c:f>'Обратная задача'!$B$11</c:f>
              <c:strCache>
                <c:ptCount val="1"/>
                <c:pt idx="0">
                  <c:v>Ср, Дж/(моль*К)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0.00" sourceLinked="1"/>
        <c:tickLblPos val="nextTo"/>
        <c:crossAx val="4942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'Обратная задача'!$B$37</c:f>
              <c:strCache>
                <c:ptCount val="1"/>
                <c:pt idx="0">
                  <c:v>Ср, Дж/(моль*К)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'Обратная задача'!$C$36:$L$36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задача'!$C$37:$L$37</c:f>
              <c:numCache>
                <c:formatCode>General</c:formatCode>
                <c:ptCount val="10"/>
                <c:pt idx="0">
                  <c:v>61.034836144742258</c:v>
                </c:pt>
                <c:pt idx="1">
                  <c:v>60.270423091683284</c:v>
                </c:pt>
                <c:pt idx="2">
                  <c:v>59.594481740884433</c:v>
                </c:pt>
                <c:pt idx="3">
                  <c:v>58.995533245548891</c:v>
                </c:pt>
                <c:pt idx="4">
                  <c:v>58.463901789872743</c:v>
                </c:pt>
                <c:pt idx="5">
                  <c:v>57.99138511398148</c:v>
                </c:pt>
                <c:pt idx="6">
                  <c:v>57.570993198606288</c:v>
                </c:pt>
                <c:pt idx="7">
                  <c:v>57.196739458333255</c:v>
                </c:pt>
                <c:pt idx="8">
                  <c:v>56.86347272232635</c:v>
                </c:pt>
                <c:pt idx="9">
                  <c:v>56.566741144814038</c:v>
                </c:pt>
              </c:numCache>
            </c:numRef>
          </c:yVal>
          <c:smooth val="1"/>
        </c:ser>
        <c:axId val="169807872"/>
        <c:axId val="169809408"/>
      </c:scatterChart>
      <c:valAx>
        <c:axId val="169807872"/>
        <c:scaling>
          <c:orientation val="minMax"/>
          <c:min val="250"/>
        </c:scaling>
        <c:axPos val="b"/>
        <c:numFmt formatCode="General" sourceLinked="1"/>
        <c:tickLblPos val="nextTo"/>
        <c:crossAx val="169809408"/>
        <c:crosses val="autoZero"/>
        <c:crossBetween val="midCat"/>
      </c:valAx>
      <c:valAx>
        <c:axId val="169809408"/>
        <c:scaling>
          <c:orientation val="minMax"/>
        </c:scaling>
        <c:axPos val="l"/>
        <c:majorGridlines/>
        <c:numFmt formatCode="General" sourceLinked="1"/>
        <c:tickLblPos val="nextTo"/>
        <c:crossAx val="169807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'Обратная задача'!$B$71:$I$71</c:f>
          <c:strCache>
            <c:ptCount val="1"/>
            <c:pt idx="0">
              <c:v>Зависимость ln(Kp) от температуры T (табличная и экспериментальная)</c:v>
            </c:pt>
          </c:strCache>
        </c:strRef>
      </c:tx>
      <c:layout/>
      <c:txPr>
        <a:bodyPr/>
        <a:lstStyle/>
        <a:p>
          <a:pPr>
            <a:defRPr sz="1200"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'Обратная задача'!$B$74</c:f>
              <c:strCache>
                <c:ptCount val="1"/>
                <c:pt idx="0">
                  <c:v>1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задача'!$D$74:$M$74</c:f>
              <c:numCache>
                <c:formatCode>General</c:formatCode>
                <c:ptCount val="10"/>
                <c:pt idx="0">
                  <c:v>-4.0775157020980846</c:v>
                </c:pt>
                <c:pt idx="1">
                  <c:v>-3.1868996256421021</c:v>
                </c:pt>
                <c:pt idx="2">
                  <c:v>-2.3570453487055474</c:v>
                </c:pt>
                <c:pt idx="3">
                  <c:v>-1.58193982828798</c:v>
                </c:pt>
                <c:pt idx="4">
                  <c:v>-0.85633809330343358</c:v>
                </c:pt>
                <c:pt idx="5">
                  <c:v>-0.17564440318873534</c:v>
                </c:pt>
                <c:pt idx="6">
                  <c:v>0.46418519026591665</c:v>
                </c:pt>
                <c:pt idx="7">
                  <c:v>1.0667232439592604</c:v>
                </c:pt>
                <c:pt idx="8">
                  <c:v>1.6351376644263083</c:v>
                </c:pt>
                <c:pt idx="9">
                  <c:v>2.1722474217807552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'Обратная задача'!$B$75</c:f>
              <c:strCache>
                <c:ptCount val="1"/>
                <c:pt idx="0">
                  <c:v>2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задача'!$D$75:$M$75</c:f>
              <c:numCache>
                <c:formatCode>General</c:formatCode>
                <c:ptCount val="10"/>
                <c:pt idx="0">
                  <c:v>-4.0797955947155931</c:v>
                </c:pt>
                <c:pt idx="1">
                  <c:v>-3.1876821842381009</c:v>
                </c:pt>
                <c:pt idx="2">
                  <c:v>-2.35712837848732</c:v>
                </c:pt>
                <c:pt idx="3">
                  <c:v>-1.5820192264691124</c:v>
                </c:pt>
                <c:pt idx="4">
                  <c:v>-0.85702233324175303</c:v>
                </c:pt>
                <c:pt idx="5">
                  <c:v>-0.17746664115116234</c:v>
                </c:pt>
                <c:pt idx="6">
                  <c:v>0.46075694117152327</c:v>
                </c:pt>
                <c:pt idx="7">
                  <c:v>1.0612775212166672</c:v>
                </c:pt>
                <c:pt idx="8">
                  <c:v>1.6273122650207572</c:v>
                </c:pt>
                <c:pt idx="9">
                  <c:v>2.1617231881947516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'Обратная задача'!$B$76</c:f>
              <c:strCache>
                <c:ptCount val="1"/>
                <c:pt idx="0">
                  <c:v>3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задача'!$D$76:$M$76</c:f>
              <c:numCache>
                <c:formatCode>General</c:formatCode>
                <c:ptCount val="10"/>
                <c:pt idx="0">
                  <c:v>-3.5114221628918747</c:v>
                </c:pt>
                <c:pt idx="1">
                  <c:v>-2.850925869261367</c:v>
                </c:pt>
                <c:pt idx="2">
                  <c:v>-2.2461974937164682</c:v>
                </c:pt>
                <c:pt idx="3">
                  <c:v>-1.6917200032660089</c:v>
                </c:pt>
                <c:pt idx="4">
                  <c:v>-1.1826809085967378</c:v>
                </c:pt>
                <c:pt idx="5">
                  <c:v>-0.7148632730205513</c:v>
                </c:pt>
                <c:pt idx="6">
                  <c:v>-0.28455634752984427</c:v>
                </c:pt>
                <c:pt idx="7">
                  <c:v>0.11151817108585149</c:v>
                </c:pt>
                <c:pt idx="8">
                  <c:v>0.47626735539188747</c:v>
                </c:pt>
                <c:pt idx="9">
                  <c:v>0.81227815003239101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'Обратная задача'!$B$77</c:f>
              <c:strCache>
                <c:ptCount val="1"/>
                <c:pt idx="0">
                  <c:v>4 прибл</c:v>
                </c:pt>
              </c:strCache>
            </c:strRef>
          </c:tx>
          <c:xVal>
            <c:numRef>
              <c:f>'Обратная задача'!$D$73:$M$73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задача'!$D$77:$M$77</c:f>
              <c:numCache>
                <c:formatCode>General</c:formatCode>
                <c:ptCount val="10"/>
                <c:pt idx="0">
                  <c:v>-4.1441841165372733</c:v>
                </c:pt>
                <c:pt idx="1">
                  <c:v>-3.21016004509928</c:v>
                </c:pt>
                <c:pt idx="2">
                  <c:v>-2.3595538644158331</c:v>
                </c:pt>
                <c:pt idx="3">
                  <c:v>-1.5843779798981257</c:v>
                </c:pt>
                <c:pt idx="4">
                  <c:v>-0.87769353818076412</c:v>
                </c:pt>
                <c:pt idx="5">
                  <c:v>-0.23344551543455661</c:v>
                </c:pt>
                <c:pt idx="6">
                  <c:v>0.35367217625220404</c:v>
                </c:pt>
                <c:pt idx="7">
                  <c:v>0.88832773420913169</c:v>
                </c:pt>
                <c:pt idx="8">
                  <c:v>1.3746434264839795</c:v>
                </c:pt>
                <c:pt idx="9">
                  <c:v>1.8162721776755375</c:v>
                </c:pt>
              </c:numCache>
            </c:numRef>
          </c:yVal>
          <c:smooth val="1"/>
        </c:ser>
        <c:ser>
          <c:idx val="3"/>
          <c:order val="4"/>
          <c:tx>
            <c:v>экспериментальная</c:v>
          </c:tx>
          <c:xVal>
            <c:numRef>
              <c:f>Отчет!$C$109:$AH$109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Отчет!$C$141:$AH$141</c:f>
              <c:numCache>
                <c:formatCode>General</c:formatCode>
                <c:ptCount val="32"/>
                <c:pt idx="0">
                  <c:v>-8.1352025100916538</c:v>
                </c:pt>
                <c:pt idx="1">
                  <c:v>-3.322005869711647</c:v>
                </c:pt>
                <c:pt idx="2">
                  <c:v>-1.9217382137569714</c:v>
                </c:pt>
                <c:pt idx="3">
                  <c:v>-1.1081487828026082</c:v>
                </c:pt>
                <c:pt idx="4">
                  <c:v>-0.52431037559011207</c:v>
                </c:pt>
                <c:pt idx="5">
                  <c:v>-8.4154789597140484E-2</c:v>
                </c:pt>
                <c:pt idx="6">
                  <c:v>0.25583766116425738</c:v>
                </c:pt>
                <c:pt idx="7">
                  <c:v>0.53949166031708451</c:v>
                </c:pt>
                <c:pt idx="8">
                  <c:v>0.41261436849031796</c:v>
                </c:pt>
                <c:pt idx="9">
                  <c:v>0.16528937560638018</c:v>
                </c:pt>
                <c:pt idx="10">
                  <c:v>-0.17640453136932657</c:v>
                </c:pt>
                <c:pt idx="11">
                  <c:v>-0.73824473069410324</c:v>
                </c:pt>
                <c:pt idx="12">
                  <c:v>-1.2595125853457985</c:v>
                </c:pt>
                <c:pt idx="13">
                  <c:v>-2.2264166628096422</c:v>
                </c:pt>
                <c:pt idx="14">
                  <c:v>-4.2862305706250678</c:v>
                </c:pt>
                <c:pt idx="15">
                  <c:v>-6.5730152863203388</c:v>
                </c:pt>
                <c:pt idx="16">
                  <c:v>-6.7480698876139575</c:v>
                </c:pt>
                <c:pt idx="17">
                  <c:v>-3.140802192083191</c:v>
                </c:pt>
                <c:pt idx="18">
                  <c:v>-1.8598718561513436</c:v>
                </c:pt>
                <c:pt idx="19">
                  <c:v>-1.0653224096663483</c:v>
                </c:pt>
                <c:pt idx="20">
                  <c:v>-0.48294610810577493</c:v>
                </c:pt>
                <c:pt idx="21">
                  <c:v>-2.8642258247730399E-2</c:v>
                </c:pt>
                <c:pt idx="22">
                  <c:v>0.3260075331577551</c:v>
                </c:pt>
                <c:pt idx="23">
                  <c:v>0.63406520777086384</c:v>
                </c:pt>
                <c:pt idx="24">
                  <c:v>0.48918496750283053</c:v>
                </c:pt>
                <c:pt idx="25">
                  <c:v>0.22421528748426703</c:v>
                </c:pt>
                <c:pt idx="26">
                  <c:v>-0.14362890091175576</c:v>
                </c:pt>
                <c:pt idx="27">
                  <c:v>-0.71493009194126722</c:v>
                </c:pt>
                <c:pt idx="28">
                  <c:v>-1.2467394948687773</c:v>
                </c:pt>
                <c:pt idx="29">
                  <c:v>-2.1773458169455613</c:v>
                </c:pt>
                <c:pt idx="30">
                  <c:v>-4.0866508826027355</c:v>
                </c:pt>
                <c:pt idx="31">
                  <c:v>-8.1807679793101808</c:v>
                </c:pt>
              </c:numCache>
            </c:numRef>
          </c:yVal>
          <c:smooth val="1"/>
        </c:ser>
        <c:axId val="169842176"/>
        <c:axId val="169844096"/>
      </c:scatterChart>
      <c:valAx>
        <c:axId val="169842176"/>
        <c:scaling>
          <c:orientation val="minMax"/>
          <c:max val="370"/>
          <c:min val="270"/>
        </c:scaling>
        <c:axPos val="b"/>
        <c:majorGridlines/>
        <c:minorGridlines/>
        <c:title>
          <c:tx>
            <c:strRef>
              <c:f>'Обратная задача'!$C$73</c:f>
              <c:strCache>
                <c:ptCount val="1"/>
                <c:pt idx="0">
                  <c:v>T, К      </c:v>
                </c:pt>
              </c:strCache>
            </c:strRef>
          </c:tx>
          <c:layout/>
        </c:title>
        <c:numFmt formatCode="General" sourceLinked="1"/>
        <c:tickLblPos val="nextTo"/>
        <c:crossAx val="169844096"/>
        <c:crosses val="autoZero"/>
        <c:crossBetween val="midCat"/>
      </c:valAx>
      <c:valAx>
        <c:axId val="169844096"/>
        <c:scaling>
          <c:orientation val="minMax"/>
          <c:max val="2.5"/>
        </c:scaling>
        <c:axPos val="l"/>
        <c:majorGridlines/>
        <c:minorGridlines/>
        <c:title>
          <c:tx>
            <c:strRef>
              <c:f>'Обратная задача'!$C$74</c:f>
              <c:strCache>
                <c:ptCount val="1"/>
                <c:pt idx="0">
                  <c:v>ln(Kp)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69842176"/>
        <c:crosses val="autoZero"/>
        <c:crossBetween val="midCat"/>
        <c:minorUnit val="0.1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233081</xdr:colOff>
      <xdr:row>12</xdr:row>
      <xdr:rowOff>152400</xdr:rowOff>
    </xdr:from>
    <xdr:to>
      <xdr:col>16</xdr:col>
      <xdr:colOff>170328</xdr:colOff>
      <xdr:row>37</xdr:row>
      <xdr:rowOff>80683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286872</xdr:colOff>
      <xdr:row>49</xdr:row>
      <xdr:rowOff>134470</xdr:rowOff>
    </xdr:from>
    <xdr:to>
      <xdr:col>14</xdr:col>
      <xdr:colOff>242048</xdr:colOff>
      <xdr:row>72</xdr:row>
      <xdr:rowOff>107577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367553</xdr:colOff>
      <xdr:row>81</xdr:row>
      <xdr:rowOff>170328</xdr:rowOff>
    </xdr:from>
    <xdr:to>
      <xdr:col>14</xdr:col>
      <xdr:colOff>242047</xdr:colOff>
      <xdr:row>104</xdr:row>
      <xdr:rowOff>143435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134470</xdr:colOff>
      <xdr:row>110</xdr:row>
      <xdr:rowOff>170328</xdr:rowOff>
    </xdr:from>
    <xdr:to>
      <xdr:col>16</xdr:col>
      <xdr:colOff>107576</xdr:colOff>
      <xdr:row>135</xdr:row>
      <xdr:rowOff>62752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197224</xdr:colOff>
      <xdr:row>152</xdr:row>
      <xdr:rowOff>26894</xdr:rowOff>
    </xdr:from>
    <xdr:to>
      <xdr:col>16</xdr:col>
      <xdr:colOff>44824</xdr:colOff>
      <xdr:row>177</xdr:row>
      <xdr:rowOff>17929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</xdr:colOff>
      <xdr:row>6</xdr:row>
      <xdr:rowOff>78104</xdr:rowOff>
    </xdr:from>
    <xdr:to>
      <xdr:col>16</xdr:col>
      <xdr:colOff>344804</xdr:colOff>
      <xdr:row>27</xdr:row>
      <xdr:rowOff>106679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11</xdr:row>
      <xdr:rowOff>137160</xdr:rowOff>
    </xdr:from>
    <xdr:to>
      <xdr:col>8</xdr:col>
      <xdr:colOff>510540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38</xdr:row>
      <xdr:rowOff>0</xdr:rowOff>
    </xdr:from>
    <xdr:to>
      <xdr:col>9</xdr:col>
      <xdr:colOff>457200</xdr:colOff>
      <xdr:row>55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78</xdr:row>
      <xdr:rowOff>114300</xdr:rowOff>
    </xdr:from>
    <xdr:to>
      <xdr:col>16</xdr:col>
      <xdr:colOff>441960</xdr:colOff>
      <xdr:row>129</xdr:row>
      <xdr:rowOff>91440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137</xdr:row>
      <xdr:rowOff>0</xdr:rowOff>
    </xdr:from>
    <xdr:to>
      <xdr:col>13</xdr:col>
      <xdr:colOff>563880</xdr:colOff>
      <xdr:row>161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thermalinfo.ru/publ/gazy/neorganicheskie_gazy/teploprovodnost_i_svojstva_chetyrekhokisi_azota_n2o4/27-1-0-38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H184"/>
  <sheetViews>
    <sheetView topLeftCell="L140" zoomScale="85" zoomScaleNormal="85" workbookViewId="0">
      <selection activeCell="C110" sqref="C110:AH110"/>
    </sheetView>
  </sheetViews>
  <sheetFormatPr defaultRowHeight="14.4"/>
  <cols>
    <col min="1" max="1" width="8.88671875" style="16"/>
    <col min="2" max="2" width="10" style="13" customWidth="1"/>
    <col min="3" max="3" width="12.44140625" style="13" bestFit="1" customWidth="1"/>
    <col min="4" max="10" width="8.88671875" style="13"/>
    <col min="11" max="11" width="9" style="13" bestFit="1" customWidth="1"/>
    <col min="12" max="16384" width="8.88671875" style="13"/>
  </cols>
  <sheetData>
    <row r="2" spans="1:22" ht="24" customHeight="1">
      <c r="B2" s="85" t="s">
        <v>18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19">
        <v>29</v>
      </c>
      <c r="R2" s="14"/>
      <c r="S2" s="14"/>
      <c r="T2" s="14"/>
      <c r="U2" s="14"/>
      <c r="V2" s="14"/>
    </row>
    <row r="3" spans="1:22">
      <c r="B3" s="14"/>
      <c r="C3" s="14"/>
      <c r="D3" s="14"/>
      <c r="E3" s="14"/>
      <c r="F3" s="14"/>
      <c r="R3" s="14"/>
      <c r="S3" s="14"/>
      <c r="T3" s="14"/>
      <c r="U3" s="14"/>
      <c r="V3" s="14"/>
    </row>
    <row r="4" spans="1:22">
      <c r="A4" s="16">
        <v>1</v>
      </c>
      <c r="B4" s="87" t="s">
        <v>35</v>
      </c>
      <c r="C4" s="87"/>
      <c r="D4" s="87"/>
      <c r="E4" s="87"/>
      <c r="F4" s="33" t="s">
        <v>24</v>
      </c>
      <c r="G4" s="13" t="s">
        <v>117</v>
      </c>
      <c r="H4" s="35">
        <v>490</v>
      </c>
    </row>
    <row r="5" spans="1:22">
      <c r="A5" s="46"/>
      <c r="B5" s="49"/>
      <c r="C5" s="83" t="str">
        <f>CONCATENATE(B7," при повышении T (",F4," = ",H4,G4," )")</f>
        <v>D(T) при повышении T (λ = 490нм )</v>
      </c>
      <c r="D5" s="83"/>
      <c r="E5" s="83"/>
      <c r="F5" s="83"/>
      <c r="G5" s="83"/>
      <c r="H5" s="83"/>
      <c r="I5" s="83"/>
      <c r="J5" s="83"/>
      <c r="K5" s="84" t="str">
        <f>CONCATENATE(B7," при понижении T (",F4," = ",H4,G4," )")</f>
        <v>D(T) при понижении T (λ = 490нм )</v>
      </c>
      <c r="L5" s="83"/>
      <c r="M5" s="83"/>
      <c r="N5" s="83"/>
      <c r="O5" s="83"/>
      <c r="P5" s="83"/>
      <c r="Q5" s="83"/>
      <c r="R5" s="83"/>
    </row>
    <row r="6" spans="1:22">
      <c r="A6" s="46"/>
      <c r="B6" s="52" t="s">
        <v>33</v>
      </c>
      <c r="C6" s="13">
        <f>Лаб.Журнал!C6+273.15</f>
        <v>303.25</v>
      </c>
      <c r="D6" s="13">
        <f>Лаб.Журнал!D6+273.15</f>
        <v>308.04999999999995</v>
      </c>
      <c r="E6" s="13">
        <f>Лаб.Журнал!E6+273.15</f>
        <v>313.14999999999998</v>
      </c>
      <c r="F6" s="13">
        <f>Лаб.Журнал!F6+273.15</f>
        <v>318.04999999999995</v>
      </c>
      <c r="G6" s="13">
        <f>Лаб.Журнал!G6+273.15</f>
        <v>323.04999999999995</v>
      </c>
      <c r="H6" s="13">
        <f>Лаб.Журнал!H6+273.15</f>
        <v>328.04999999999995</v>
      </c>
      <c r="I6" s="13">
        <f>Лаб.Журнал!I6+273.15</f>
        <v>333.04999999999995</v>
      </c>
      <c r="J6" s="47">
        <f>Лаб.Журнал!J6+273.15</f>
        <v>338.15</v>
      </c>
      <c r="K6" s="49">
        <f>Лаб.Журнал!K6+273.15</f>
        <v>335.45</v>
      </c>
      <c r="L6" s="13">
        <f>Лаб.Журнал!L6+273.15</f>
        <v>331.34999999999997</v>
      </c>
      <c r="M6" s="13">
        <f>Лаб.Журнал!M6+273.15</f>
        <v>326.75</v>
      </c>
      <c r="N6" s="13">
        <f>Лаб.Журнал!N6+273.15</f>
        <v>320.95</v>
      </c>
      <c r="O6" s="13">
        <f>Лаб.Журнал!O6+273.15</f>
        <v>316.84999999999997</v>
      </c>
      <c r="P6" s="13">
        <f>Лаб.Журнал!P6+273.15</f>
        <v>311.75</v>
      </c>
      <c r="Q6" s="13">
        <f>Лаб.Журнал!Q6+273.15</f>
        <v>306.14999999999998</v>
      </c>
      <c r="R6" s="47">
        <f>Лаб.Журнал!R6+273.15</f>
        <v>301.84999999999997</v>
      </c>
    </row>
    <row r="7" spans="1:22">
      <c r="A7" s="46"/>
      <c r="B7" s="52" t="s">
        <v>34</v>
      </c>
      <c r="C7" s="43">
        <f>AVERAGE(Лаб.Журнал!C7:C9)</f>
        <v>1.0995384301463193E-2</v>
      </c>
      <c r="D7" s="43">
        <f>AVERAGE(Лаб.Журнал!D7:D9)</f>
        <v>0.11776015198117658</v>
      </c>
      <c r="E7" s="43">
        <f>AVERAGE(Лаб.Журнал!E7:E9)</f>
        <v>0.22822884625413206</v>
      </c>
      <c r="F7" s="43">
        <f>AVERAGE(Лаб.Журнал!F7:F9)</f>
        <v>0.33021838479146343</v>
      </c>
      <c r="G7" s="43">
        <f>AVERAGE(Лаб.Журнал!G7:G9)</f>
        <v>0.42596873227228121</v>
      </c>
      <c r="H7" s="43">
        <f>AVERAGE(Лаб.Журнал!H7:H9)</f>
        <v>0.51215487988856445</v>
      </c>
      <c r="I7" s="43">
        <f>AVERAGE(Лаб.Журнал!I7:I9)</f>
        <v>0.58711964153502583</v>
      </c>
      <c r="J7" s="44">
        <f>AVERAGE(Лаб.Журнал!J7:J9)</f>
        <v>0.65511672063013704</v>
      </c>
      <c r="K7" s="42">
        <f>AVERAGE(Лаб.Журнал!K7:K9)</f>
        <v>0.62433638603911468</v>
      </c>
      <c r="L7" s="43">
        <f>AVERAGE(Лаб.Журнал!L7:L9)</f>
        <v>0.56663025314341409</v>
      </c>
      <c r="M7" s="43">
        <f>AVERAGE(Лаб.Журнал!M7:M9)</f>
        <v>0.49315686366064909</v>
      </c>
      <c r="N7" s="43">
        <f>AVERAGE(Лаб.Журнал!N7:N9)</f>
        <v>0.38854223433165752</v>
      </c>
      <c r="O7" s="43">
        <f>AVERAGE(Лаб.Журнал!O7:O9)</f>
        <v>0.30869743661651688</v>
      </c>
      <c r="P7" s="43">
        <f>AVERAGE(Лаб.Журнал!P7:P9)</f>
        <v>0.19808202765860766</v>
      </c>
      <c r="Q7" s="43">
        <f>AVERAGE(Лаб.Журнал!Q7:Q9)</f>
        <v>7.378621416091867E-2</v>
      </c>
      <c r="R7" s="44">
        <f>AVERAGE(Лаб.Журнал!R7:R9)</f>
        <v>-2.4280376047079902E-2</v>
      </c>
    </row>
    <row r="8" spans="1:22">
      <c r="K8" s="15"/>
    </row>
    <row r="9" spans="1:22">
      <c r="B9" s="87" t="s">
        <v>35</v>
      </c>
      <c r="C9" s="87"/>
      <c r="D9" s="87"/>
      <c r="E9" s="87"/>
      <c r="F9" s="33" t="s">
        <v>24</v>
      </c>
      <c r="G9" s="13" t="s">
        <v>117</v>
      </c>
      <c r="H9" s="35">
        <v>540</v>
      </c>
      <c r="I9" s="50"/>
      <c r="J9" s="51"/>
      <c r="K9" s="51"/>
    </row>
    <row r="10" spans="1:22">
      <c r="C10" s="83" t="str">
        <f>CONCATENATE(B12," при повышении T (",F9," = ",H9,G9," )")</f>
        <v>D(T) при повышении T (λ = 540нм )</v>
      </c>
      <c r="D10" s="83"/>
      <c r="E10" s="83"/>
      <c r="F10" s="83"/>
      <c r="G10" s="83"/>
      <c r="H10" s="83"/>
      <c r="I10" s="83"/>
      <c r="J10" s="83"/>
      <c r="K10" s="84" t="str">
        <f>CONCATENATE(B12," при понижении T (",F9," = ",H9,G9," )")</f>
        <v>D(T) при понижении T (λ = 540нм )</v>
      </c>
      <c r="L10" s="83"/>
      <c r="M10" s="83"/>
      <c r="N10" s="83"/>
      <c r="O10" s="83"/>
      <c r="P10" s="83"/>
      <c r="Q10" s="83"/>
      <c r="R10" s="83"/>
    </row>
    <row r="11" spans="1:22">
      <c r="B11" s="18" t="s">
        <v>33</v>
      </c>
      <c r="C11" s="49">
        <f>Лаб.Журнал!C13+273.15</f>
        <v>303.25</v>
      </c>
      <c r="D11" s="13">
        <f>Лаб.Журнал!D13+273.15</f>
        <v>308.04999999999995</v>
      </c>
      <c r="E11" s="13">
        <f>Лаб.Журнал!E13+273.15</f>
        <v>313.14999999999998</v>
      </c>
      <c r="F11" s="13">
        <f>Лаб.Журнал!F13+273.15</f>
        <v>318.04999999999995</v>
      </c>
      <c r="G11" s="13">
        <f>Лаб.Журнал!G13+273.15</f>
        <v>323.04999999999995</v>
      </c>
      <c r="H11" s="13">
        <f>Лаб.Журнал!H13+273.15</f>
        <v>328.04999999999995</v>
      </c>
      <c r="I11" s="13">
        <f>Лаб.Журнал!I13+273.15</f>
        <v>333.04999999999995</v>
      </c>
      <c r="J11" s="47">
        <f>Лаб.Журнал!J13+273.15</f>
        <v>338.15</v>
      </c>
      <c r="K11" s="49">
        <f>Лаб.Журнал!K13+273.15</f>
        <v>335.45</v>
      </c>
      <c r="L11" s="13">
        <f>Лаб.Журнал!L13+273.15</f>
        <v>331.34999999999997</v>
      </c>
      <c r="M11" s="13">
        <f>Лаб.Журнал!M13+273.15</f>
        <v>326.75</v>
      </c>
      <c r="N11" s="13">
        <f>Лаб.Журнал!N13+273.15</f>
        <v>320.95</v>
      </c>
      <c r="O11" s="13">
        <f>Лаб.Журнал!O13+273.15</f>
        <v>316.84999999999997</v>
      </c>
      <c r="P11" s="13">
        <f>Лаб.Журнал!P13+273.15</f>
        <v>311.75</v>
      </c>
      <c r="Q11" s="13">
        <f>Лаб.Журнал!Q13+273.15</f>
        <v>306.14999999999998</v>
      </c>
      <c r="R11" s="47">
        <f>Лаб.Журнал!R13+273.15</f>
        <v>301.84999999999997</v>
      </c>
    </row>
    <row r="12" spans="1:22">
      <c r="B12" s="18" t="s">
        <v>34</v>
      </c>
      <c r="C12" s="42">
        <f>AVERAGE(Лаб.Журнал!C14:C16)</f>
        <v>7.3767290587543524E-3</v>
      </c>
      <c r="D12" s="43">
        <f>AVERAGE(Лаб.Журнал!D14:D16)</f>
        <v>4.3225154045280025E-2</v>
      </c>
      <c r="E12" s="43">
        <f>AVERAGE(Лаб.Журнал!E14:E16)</f>
        <v>7.8998423699354198E-2</v>
      </c>
      <c r="F12" s="43">
        <f>AVERAGE(Лаб.Журнал!F14:F16)</f>
        <v>0.11321252423045589</v>
      </c>
      <c r="G12" s="43">
        <f>AVERAGE(Лаб.Журнал!G14:G16)</f>
        <v>0.14585383100834604</v>
      </c>
      <c r="H12" s="43">
        <f>AVERAGE(Лаб.Журнал!H14:H16)</f>
        <v>0.17631989527149267</v>
      </c>
      <c r="I12" s="43">
        <f>AVERAGE(Лаб.Журнал!I14:I16)</f>
        <v>0.20320663956029825</v>
      </c>
      <c r="J12" s="44">
        <f>AVERAGE(Лаб.Журнал!J14:J16)</f>
        <v>0.22876074403268629</v>
      </c>
      <c r="K12" s="42">
        <f>AVERAGE(Лаб.Журнал!K14:K16)</f>
        <v>0.21654779213311634</v>
      </c>
      <c r="L12" s="43">
        <f>AVERAGE(Лаб.Журнал!L14:L16)</f>
        <v>0.19525098112256153</v>
      </c>
      <c r="M12" s="43">
        <f>AVERAGE(Лаб.Журнал!M14:M16)</f>
        <v>0.16816389065358001</v>
      </c>
      <c r="N12" s="43">
        <f>AVERAGE(Лаб.Журнал!N14:N16)</f>
        <v>0.13200558732218912</v>
      </c>
      <c r="O12" s="43">
        <f>AVERAGE(Лаб.Журнал!O14:O16)</f>
        <v>0.104403003473449</v>
      </c>
      <c r="P12" s="43">
        <f>AVERAGE(Лаб.Журнал!P14:P16)</f>
        <v>6.8167576047672415E-2</v>
      </c>
      <c r="Q12" s="43">
        <f>AVERAGE(Лаб.Журнал!Q14:Q16)</f>
        <v>2.7358750912724699E-2</v>
      </c>
      <c r="R12" s="44">
        <f>AVERAGE(Лаб.Журнал!R14:R16)</f>
        <v>-3.6419037896966221E-3</v>
      </c>
    </row>
    <row r="25" spans="3:3">
      <c r="C25" s="15"/>
    </row>
    <row r="26" spans="3:3">
      <c r="C26" s="15"/>
    </row>
    <row r="39" spans="1:18">
      <c r="A39" s="16">
        <v>2</v>
      </c>
      <c r="B39" s="79" t="s">
        <v>37</v>
      </c>
      <c r="C39" s="80"/>
      <c r="D39" s="80"/>
      <c r="E39" s="80"/>
      <c r="F39" s="80"/>
      <c r="G39" s="80"/>
      <c r="H39" s="80"/>
      <c r="I39" s="80"/>
      <c r="J39" s="80"/>
    </row>
    <row r="41" spans="1:18">
      <c r="B41" s="79" t="str">
        <f>CONCATENATE("Зависимость концентрации NO2 от Т (",H41," = ",J41," ",I41,")")</f>
        <v>Зависимость концентрации NO2 от Т (λ = 490 нм)</v>
      </c>
      <c r="C41" s="80"/>
      <c r="D41" s="80"/>
      <c r="E41" s="80"/>
      <c r="F41" s="80"/>
      <c r="G41" s="80"/>
      <c r="H41" s="18" t="str">
        <f t="shared" ref="H41:J41" si="0">F4</f>
        <v>λ</v>
      </c>
      <c r="I41" s="13" t="str">
        <f t="shared" si="0"/>
        <v>нм</v>
      </c>
      <c r="J41" s="45">
        <f t="shared" si="0"/>
        <v>490</v>
      </c>
    </row>
    <row r="43" spans="1:18">
      <c r="A43" s="46"/>
      <c r="B43" s="52" t="s">
        <v>33</v>
      </c>
      <c r="C43" s="40">
        <f>C6</f>
        <v>303.25</v>
      </c>
      <c r="D43" s="40">
        <f t="shared" ref="D43:R43" si="1">D6</f>
        <v>308.04999999999995</v>
      </c>
      <c r="E43" s="40">
        <f t="shared" si="1"/>
        <v>313.14999999999998</v>
      </c>
      <c r="F43" s="40">
        <f t="shared" si="1"/>
        <v>318.04999999999995</v>
      </c>
      <c r="G43" s="40">
        <f t="shared" si="1"/>
        <v>323.04999999999995</v>
      </c>
      <c r="H43" s="40">
        <f t="shared" si="1"/>
        <v>328.04999999999995</v>
      </c>
      <c r="I43" s="40">
        <f t="shared" si="1"/>
        <v>333.04999999999995</v>
      </c>
      <c r="J43" s="41">
        <f t="shared" si="1"/>
        <v>338.15</v>
      </c>
      <c r="K43" s="39">
        <f t="shared" si="1"/>
        <v>335.45</v>
      </c>
      <c r="L43" s="40">
        <f t="shared" si="1"/>
        <v>331.34999999999997</v>
      </c>
      <c r="M43" s="40">
        <f t="shared" si="1"/>
        <v>326.75</v>
      </c>
      <c r="N43" s="40">
        <f t="shared" si="1"/>
        <v>320.95</v>
      </c>
      <c r="O43" s="40">
        <f t="shared" si="1"/>
        <v>316.84999999999997</v>
      </c>
      <c r="P43" s="40">
        <f t="shared" si="1"/>
        <v>311.75</v>
      </c>
      <c r="Q43" s="40">
        <f t="shared" si="1"/>
        <v>306.14999999999998</v>
      </c>
      <c r="R43" s="41">
        <f t="shared" si="1"/>
        <v>301.84999999999997</v>
      </c>
    </row>
    <row r="44" spans="1:18">
      <c r="A44" s="46"/>
      <c r="B44" s="52" t="s">
        <v>36</v>
      </c>
      <c r="C44" s="43">
        <f>C7/Лаб.Журнал!$C$19</f>
        <v>3.1870679134675923E-5</v>
      </c>
      <c r="D44" s="43">
        <f>D7/Лаб.Журнал!$C$19</f>
        <v>3.4133377385848281E-4</v>
      </c>
      <c r="E44" s="43">
        <f>E7/Лаб.Журнал!$C$19</f>
        <v>6.6153288769313639E-4</v>
      </c>
      <c r="F44" s="43">
        <f>F7/Лаб.Журнал!$C$19</f>
        <v>9.5715473852598092E-4</v>
      </c>
      <c r="G44" s="43">
        <f>G7/Лаб.Журнал!$C$19</f>
        <v>1.2346919776008152E-3</v>
      </c>
      <c r="H44" s="43">
        <f>H7/Лаб.Журнал!$C$19</f>
        <v>1.4845068982277231E-3</v>
      </c>
      <c r="I44" s="43">
        <f>I7/Лаб.Журнал!$C$19</f>
        <v>1.7017960624203647E-3</v>
      </c>
      <c r="J44" s="43">
        <f>J7/Лаб.Журнал!$C$19</f>
        <v>1.8988890453047449E-3</v>
      </c>
      <c r="K44" s="42">
        <f>K7/Лаб.Журнал!$C$19</f>
        <v>1.8096706841713469E-3</v>
      </c>
      <c r="L44" s="42">
        <f>L7/Лаб.Журнал!$C$19</f>
        <v>1.6424065308504757E-3</v>
      </c>
      <c r="M44" s="42">
        <f>M7/Лаб.Журнал!$C$19</f>
        <v>1.4294401845236205E-3</v>
      </c>
      <c r="N44" s="42">
        <f>N7/Лаб.Журнал!$C$19</f>
        <v>1.1262093748743696E-3</v>
      </c>
      <c r="O44" s="42">
        <f>O7/Лаб.Журнал!$C$19</f>
        <v>8.9477517859859967E-4</v>
      </c>
      <c r="P44" s="42">
        <f>P7/Лаб.Журнал!$C$19</f>
        <v>5.7415080480755843E-4</v>
      </c>
      <c r="Q44" s="42">
        <f>Q7/Лаб.Журнал!$C$19</f>
        <v>2.1387308452440194E-4</v>
      </c>
      <c r="R44" s="42">
        <f>R7/Лаб.Журнал!$C$19</f>
        <v>-7.037790158573884E-5</v>
      </c>
    </row>
    <row r="46" spans="1:18">
      <c r="B46" s="79" t="str">
        <f>CONCATENATE("Зависимость концентрации NO2 от Т (",H46," = ",J46," ",I46,")")</f>
        <v>Зависимость концентрации NO2 от Т (λ = 540 нм)</v>
      </c>
      <c r="C46" s="80"/>
      <c r="D46" s="80"/>
      <c r="E46" s="80"/>
      <c r="F46" s="80"/>
      <c r="G46" s="80"/>
      <c r="H46" s="18" t="str">
        <f t="shared" ref="H46" si="2">F9</f>
        <v>λ</v>
      </c>
      <c r="I46" s="13" t="str">
        <f>G9</f>
        <v>нм</v>
      </c>
      <c r="J46" s="45">
        <f t="shared" ref="J46" si="3">H9</f>
        <v>540</v>
      </c>
    </row>
    <row r="47" spans="1:18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</row>
    <row r="48" spans="1:18">
      <c r="A48" s="46"/>
      <c r="B48" s="52" t="s">
        <v>33</v>
      </c>
      <c r="C48" s="40">
        <f>C11</f>
        <v>303.25</v>
      </c>
      <c r="D48" s="40">
        <f t="shared" ref="D48:R48" si="4">D11</f>
        <v>308.04999999999995</v>
      </c>
      <c r="E48" s="40">
        <f t="shared" si="4"/>
        <v>313.14999999999998</v>
      </c>
      <c r="F48" s="40">
        <f t="shared" si="4"/>
        <v>318.04999999999995</v>
      </c>
      <c r="G48" s="40">
        <f t="shared" si="4"/>
        <v>323.04999999999995</v>
      </c>
      <c r="H48" s="40">
        <f t="shared" si="4"/>
        <v>328.04999999999995</v>
      </c>
      <c r="I48" s="40">
        <f t="shared" si="4"/>
        <v>333.04999999999995</v>
      </c>
      <c r="J48" s="41">
        <f t="shared" si="4"/>
        <v>338.15</v>
      </c>
      <c r="K48" s="39">
        <f t="shared" si="4"/>
        <v>335.45</v>
      </c>
      <c r="L48" s="40">
        <f t="shared" si="4"/>
        <v>331.34999999999997</v>
      </c>
      <c r="M48" s="40">
        <f t="shared" si="4"/>
        <v>326.75</v>
      </c>
      <c r="N48" s="40">
        <f t="shared" si="4"/>
        <v>320.95</v>
      </c>
      <c r="O48" s="40">
        <f t="shared" si="4"/>
        <v>316.84999999999997</v>
      </c>
      <c r="P48" s="40">
        <f t="shared" si="4"/>
        <v>311.75</v>
      </c>
      <c r="Q48" s="40">
        <f t="shared" si="4"/>
        <v>306.14999999999998</v>
      </c>
      <c r="R48" s="41">
        <f t="shared" si="4"/>
        <v>301.84999999999997</v>
      </c>
    </row>
    <row r="49" spans="1:18">
      <c r="A49" s="46"/>
      <c r="B49" s="52" t="s">
        <v>36</v>
      </c>
      <c r="C49" s="43">
        <f>C12/Лаб.Журнал!$C$20</f>
        <v>6.3592491885813382E-5</v>
      </c>
      <c r="D49" s="43">
        <f>D12/Лаб.Журнал!$C$20</f>
        <v>3.7263063832137952E-4</v>
      </c>
      <c r="E49" s="43">
        <f>E12/Лаб.Журнал!$C$20</f>
        <v>6.8102089395994997E-4</v>
      </c>
      <c r="F49" s="43">
        <f>F12/Лаб.Журнал!$C$20</f>
        <v>9.759700364694473E-4</v>
      </c>
      <c r="G49" s="43">
        <f>G12/Лаб.Журнал!$C$20</f>
        <v>1.257360612140914E-3</v>
      </c>
      <c r="H49" s="43">
        <f>H12/Лаб.Журнал!$C$20</f>
        <v>1.5199990971680403E-3</v>
      </c>
      <c r="I49" s="43">
        <f>I12/Лаб.Журнал!$C$20</f>
        <v>1.7517813755198125E-3</v>
      </c>
      <c r="J49" s="43">
        <f>J12/Лаб.Журнал!$C$20</f>
        <v>1.9720753795921231E-3</v>
      </c>
      <c r="K49" s="42">
        <f>K12/Лаб.Журнал!$C$20</f>
        <v>1.8667913114923823E-3</v>
      </c>
      <c r="L49" s="42">
        <f>L12/Лаб.Журнал!$C$20</f>
        <v>1.6831981131255305E-3</v>
      </c>
      <c r="M49" s="42">
        <f>M12/Лаб.Журнал!$C$20</f>
        <v>1.4496887125308622E-3</v>
      </c>
      <c r="N49" s="42">
        <f>N12/Лаб.Журнал!$C$20</f>
        <v>1.1379792010533544E-3</v>
      </c>
      <c r="O49" s="42">
        <f>O12/Лаб.Журнал!$C$20</f>
        <v>9.0002589201249137E-4</v>
      </c>
      <c r="P49" s="42">
        <f>P12/Лаб.Журнал!$C$20</f>
        <v>5.8765151765234841E-4</v>
      </c>
      <c r="Q49" s="42">
        <f>Q12/Лаб.Журнал!$C$20</f>
        <v>2.3585130097176466E-4</v>
      </c>
      <c r="R49" s="42">
        <f>R12/Лаб.Журнал!$C$20</f>
        <v>-3.139572232497088E-5</v>
      </c>
    </row>
    <row r="76" spans="1:34">
      <c r="A76" s="16">
        <v>3</v>
      </c>
      <c r="B76" s="79" t="s">
        <v>45</v>
      </c>
      <c r="C76" s="80"/>
      <c r="D76" s="80"/>
      <c r="E76" s="80"/>
      <c r="F76" s="80"/>
      <c r="G76" s="80"/>
      <c r="H76" s="80"/>
    </row>
    <row r="78" spans="1:34">
      <c r="B78" s="18" t="str">
        <f t="shared" ref="B78:R78" si="5">B43</f>
        <v>T, K</v>
      </c>
      <c r="C78" s="39">
        <f t="shared" si="5"/>
        <v>303.25</v>
      </c>
      <c r="D78" s="40">
        <f t="shared" si="5"/>
        <v>308.04999999999995</v>
      </c>
      <c r="E78" s="40">
        <f t="shared" si="5"/>
        <v>313.14999999999998</v>
      </c>
      <c r="F78" s="40">
        <f t="shared" si="5"/>
        <v>318.04999999999995</v>
      </c>
      <c r="G78" s="40">
        <f t="shared" si="5"/>
        <v>323.04999999999995</v>
      </c>
      <c r="H78" s="40">
        <f t="shared" si="5"/>
        <v>328.04999999999995</v>
      </c>
      <c r="I78" s="40">
        <f t="shared" si="5"/>
        <v>333.04999999999995</v>
      </c>
      <c r="J78" s="41">
        <f t="shared" si="5"/>
        <v>338.15</v>
      </c>
      <c r="K78" s="39">
        <f t="shared" si="5"/>
        <v>335.45</v>
      </c>
      <c r="L78" s="40">
        <f t="shared" si="5"/>
        <v>331.34999999999997</v>
      </c>
      <c r="M78" s="40">
        <f t="shared" si="5"/>
        <v>326.75</v>
      </c>
      <c r="N78" s="40">
        <f t="shared" si="5"/>
        <v>320.95</v>
      </c>
      <c r="O78" s="40">
        <f t="shared" si="5"/>
        <v>316.84999999999997</v>
      </c>
      <c r="P78" s="40">
        <f t="shared" si="5"/>
        <v>311.75</v>
      </c>
      <c r="Q78" s="40">
        <f t="shared" si="5"/>
        <v>306.14999999999998</v>
      </c>
      <c r="R78" s="41">
        <f t="shared" si="5"/>
        <v>301.84999999999997</v>
      </c>
      <c r="S78" s="39">
        <f t="shared" ref="S78:AH78" si="6">C48</f>
        <v>303.25</v>
      </c>
      <c r="T78" s="40">
        <f t="shared" si="6"/>
        <v>308.04999999999995</v>
      </c>
      <c r="U78" s="40">
        <f t="shared" si="6"/>
        <v>313.14999999999998</v>
      </c>
      <c r="V78" s="40">
        <f t="shared" si="6"/>
        <v>318.04999999999995</v>
      </c>
      <c r="W78" s="40">
        <f t="shared" si="6"/>
        <v>323.04999999999995</v>
      </c>
      <c r="X78" s="40">
        <f t="shared" si="6"/>
        <v>328.04999999999995</v>
      </c>
      <c r="Y78" s="40">
        <f t="shared" si="6"/>
        <v>333.04999999999995</v>
      </c>
      <c r="Z78" s="41">
        <f t="shared" si="6"/>
        <v>338.15</v>
      </c>
      <c r="AA78" s="39">
        <f t="shared" si="6"/>
        <v>335.45</v>
      </c>
      <c r="AB78" s="40">
        <f t="shared" si="6"/>
        <v>331.34999999999997</v>
      </c>
      <c r="AC78" s="40">
        <f t="shared" si="6"/>
        <v>326.75</v>
      </c>
      <c r="AD78" s="40">
        <f t="shared" si="6"/>
        <v>320.95</v>
      </c>
      <c r="AE78" s="40">
        <f t="shared" si="6"/>
        <v>316.84999999999997</v>
      </c>
      <c r="AF78" s="40">
        <f t="shared" si="6"/>
        <v>311.75</v>
      </c>
      <c r="AG78" s="40">
        <f t="shared" si="6"/>
        <v>306.14999999999998</v>
      </c>
      <c r="AH78" s="41">
        <f t="shared" si="6"/>
        <v>301.84999999999997</v>
      </c>
    </row>
    <row r="79" spans="1:34">
      <c r="B79" s="18" t="s">
        <v>40</v>
      </c>
      <c r="C79" s="62">
        <f>C78*Лаб.Журнал!$E$22*Лаб.Журнал!$E$20/100</f>
        <v>0.14623887970999999</v>
      </c>
      <c r="D79" s="15">
        <f>D78*Лаб.Журнал!$E$22*Лаб.Журнал!$E$20/100</f>
        <v>0.14855362537399996</v>
      </c>
      <c r="E79" s="15">
        <f>E78*Лаб.Журнал!$E$22*Лаб.Журнал!$E$20/100</f>
        <v>0.15101304264199997</v>
      </c>
      <c r="F79" s="15">
        <f>F78*Лаб.Журнал!$E$22*Лаб.Журнал!$E$20/100</f>
        <v>0.15337601217399999</v>
      </c>
      <c r="G79" s="15">
        <f>G78*Лаб.Журнал!$E$22*Лаб.Журнал!$E$20/100</f>
        <v>0.15578720557399997</v>
      </c>
      <c r="H79" s="15">
        <f>H78*Лаб.Журнал!$E$22*Лаб.Журнал!$E$20/100</f>
        <v>0.15819839897399998</v>
      </c>
      <c r="I79" s="15">
        <f>I78*Лаб.Журнал!$E$22*Лаб.Журнал!$E$20/100</f>
        <v>0.16060959237399999</v>
      </c>
      <c r="J79" s="15">
        <f>J78*Лаб.Журнал!$E$22*Лаб.Журнал!$E$20/100</f>
        <v>0.163069009642</v>
      </c>
      <c r="K79" s="15">
        <f>K78*Лаб.Журнал!$E$22*Лаб.Журнал!$E$20/100</f>
        <v>0.16176696520600001</v>
      </c>
      <c r="L79" s="15">
        <f>L78*Лаб.Журнал!$E$22*Лаб.Журнал!$E$20/100</f>
        <v>0.15978978661799997</v>
      </c>
      <c r="M79" s="15">
        <f>M78*Лаб.Журнал!$E$22*Лаб.Журнал!$E$20/100</f>
        <v>0.15757148868999998</v>
      </c>
      <c r="N79" s="15">
        <f>N78*Лаб.Журнал!$E$22*Лаб.Журнал!$E$20/100</f>
        <v>0.15477450434599999</v>
      </c>
      <c r="O79" s="15">
        <f>O78*Лаб.Журнал!$E$22*Лаб.Журнал!$E$20/100</f>
        <v>0.15279732575799998</v>
      </c>
      <c r="P79" s="15">
        <f>P78*Лаб.Журнал!$E$22*Лаб.Журнал!$E$20/100</f>
        <v>0.15033790848999998</v>
      </c>
      <c r="Q79" s="15">
        <f>Q78*Лаб.Журнал!$E$22*Лаб.Журнал!$E$20/100</f>
        <v>0.14763737188199999</v>
      </c>
      <c r="R79" s="15">
        <f>R78*Лаб.Журнал!$E$22*Лаб.Журнал!$E$20/100</f>
        <v>0.14556374555799997</v>
      </c>
      <c r="S79" s="15">
        <f>S78*Лаб.Журнал!$E$22*Лаб.Журнал!$E$20/100</f>
        <v>0.14623887970999999</v>
      </c>
      <c r="T79" s="15">
        <f>T78*Лаб.Журнал!$E$22*Лаб.Журнал!$E$20/100</f>
        <v>0.14855362537399996</v>
      </c>
      <c r="U79" s="15">
        <f>U78*Лаб.Журнал!$E$22*Лаб.Журнал!$E$20/100</f>
        <v>0.15101304264199997</v>
      </c>
      <c r="V79" s="15">
        <f>V78*Лаб.Журнал!$E$22*Лаб.Журнал!$E$20/100</f>
        <v>0.15337601217399999</v>
      </c>
      <c r="W79" s="15">
        <f>W78*Лаб.Журнал!$E$22*Лаб.Журнал!$E$20/100</f>
        <v>0.15578720557399997</v>
      </c>
      <c r="X79" s="15">
        <f>X78*Лаб.Журнал!$E$22*Лаб.Журнал!$E$20/100</f>
        <v>0.15819839897399998</v>
      </c>
      <c r="Y79" s="15">
        <f>Y78*Лаб.Журнал!$E$22*Лаб.Журнал!$E$20/100</f>
        <v>0.16060959237399999</v>
      </c>
      <c r="Z79" s="15">
        <f>Z78*Лаб.Журнал!$E$22*Лаб.Журнал!$E$20/100</f>
        <v>0.163069009642</v>
      </c>
      <c r="AA79" s="15">
        <f>AA78*Лаб.Журнал!$E$22*Лаб.Журнал!$E$20/100</f>
        <v>0.16176696520600001</v>
      </c>
      <c r="AB79" s="15">
        <f>AB78*Лаб.Журнал!$E$22*Лаб.Журнал!$E$20/100</f>
        <v>0.15978978661799997</v>
      </c>
      <c r="AC79" s="15">
        <f>AC78*Лаб.Журнал!$E$22*Лаб.Журнал!$E$20/100</f>
        <v>0.15757148868999998</v>
      </c>
      <c r="AD79" s="15">
        <f>AD78*Лаб.Журнал!$E$22*Лаб.Журнал!$E$20/100</f>
        <v>0.15477450434599999</v>
      </c>
      <c r="AE79" s="15">
        <f>AE78*Лаб.Журнал!$E$22*Лаб.Журнал!$E$20/100</f>
        <v>0.15279732575799998</v>
      </c>
      <c r="AF79" s="15">
        <f>AF78*Лаб.Журнал!$E$22*Лаб.Журнал!$E$20/100</f>
        <v>0.15033790848999998</v>
      </c>
      <c r="AG79" s="15">
        <f>AG78*Лаб.Журнал!$E$22*Лаб.Журнал!$E$20/100</f>
        <v>0.14763737188199999</v>
      </c>
      <c r="AH79" s="63">
        <f>AH78*Лаб.Журнал!$E$22*Лаб.Журнал!$E$20/100</f>
        <v>0.14556374555799997</v>
      </c>
    </row>
    <row r="80" spans="1:34">
      <c r="B80" s="18" t="s">
        <v>42</v>
      </c>
      <c r="C80" s="49">
        <f>C78*Лаб.Журнал!$E$22*Отчет!C44/100</f>
        <v>8.0357455383653104E-4</v>
      </c>
      <c r="D80" s="13">
        <f>D78*Лаб.Журнал!$E$22*Отчет!D44/100</f>
        <v>8.742477511942532E-3</v>
      </c>
      <c r="E80" s="13">
        <f>E78*Лаб.Журнал!$E$22*Отчет!E44/100</f>
        <v>1.7224154168670517E-2</v>
      </c>
      <c r="F80" s="13">
        <f>F78*Лаб.Журнал!$E$22*Отчет!F44/100</f>
        <v>2.5311133935959074E-2</v>
      </c>
      <c r="G80" s="13">
        <f>G78*Лаб.Журнал!$E$22*Отчет!G44/100</f>
        <v>3.3163657402597718E-2</v>
      </c>
      <c r="H80" s="13">
        <f>H78*Лаб.Журнал!$E$22*Отчет!H44/100</f>
        <v>4.0490795614738714E-2</v>
      </c>
      <c r="I80" s="13">
        <f>I78*Лаб.Журнал!$E$22*Отчет!I44/100</f>
        <v>4.7124960670519488E-2</v>
      </c>
      <c r="J80" s="13">
        <f>J78*Лаб.Журнал!$E$22*Отчет!J44/100</f>
        <v>5.3387923454808216E-2</v>
      </c>
      <c r="K80" s="13">
        <f>K78*Лаб.Журнал!$E$22*Отчет!K44/100</f>
        <v>5.0473264586321467E-2</v>
      </c>
      <c r="L80" s="13">
        <f>L78*Лаб.Журнал!$E$22*Отчет!L44/100</f>
        <v>4.5248239500794325E-2</v>
      </c>
      <c r="M80" s="13">
        <f>M78*Лаб.Журнал!$E$22*Отчет!M44/100</f>
        <v>3.8834313425637097E-2</v>
      </c>
      <c r="N80" s="13">
        <f>N78*Лаб.Журнал!$E$22*Отчет!N44/100</f>
        <v>3.0053189273448112E-2</v>
      </c>
      <c r="O80" s="13">
        <f>O78*Лаб.Журнал!$E$22*Отчет!O44/100</f>
        <v>2.3572285249052215E-2</v>
      </c>
      <c r="P80" s="13">
        <f>P78*Лаб.Журнал!$E$22*Отчет!P44/100</f>
        <v>1.4882177784934236E-2</v>
      </c>
      <c r="Q80" s="13">
        <f>Q78*Лаб.Журнал!$E$22*Отчет!Q44/100</f>
        <v>5.4440793302550942E-3</v>
      </c>
      <c r="R80" s="13">
        <f>R78*Лаб.Журнал!$E$22*Отчет!R44/100</f>
        <v>-1.7662880964366295E-3</v>
      </c>
      <c r="S80" s="13">
        <f>S78*Лаб.Журнал!$E$22*Отчет!C49/100</f>
        <v>1.6033956502325198E-3</v>
      </c>
      <c r="T80" s="13">
        <f>T78*Лаб.Журнал!$E$22*Отчет!D49/100</f>
        <v>9.5440745255290851E-3</v>
      </c>
      <c r="U80" s="13">
        <f>U78*Лаб.Журнал!$E$22*Отчет!E49/100</f>
        <v>1.7731558155114978E-2</v>
      </c>
      <c r="V80" s="13">
        <f>V78*Лаб.Журнал!$E$22*Отчет!F49/100</f>
        <v>2.5808688309482269E-2</v>
      </c>
      <c r="W80" s="13">
        <f>W78*Лаб.Журнал!$E$22*Отчет!G49/100</f>
        <v>3.3772533821421903E-2</v>
      </c>
      <c r="X80" s="13">
        <f>X78*Лаб.Журнал!$E$22*Отчет!H49/100</f>
        <v>4.1458866140329211E-2</v>
      </c>
      <c r="Y80" s="13">
        <f>Y78*Лаб.Журнал!$E$22*Отчет!I49/100</f>
        <v>4.8509119422517601E-2</v>
      </c>
      <c r="Z80" s="13">
        <f>Z78*Лаб.Журнал!$E$22*Отчет!J49/100</f>
        <v>5.5445582601630815E-2</v>
      </c>
      <c r="AA80" s="13">
        <f>AA78*Лаб.Журнал!$E$22*Отчет!K49/100</f>
        <v>5.2066407781560568E-2</v>
      </c>
      <c r="AB80" s="13">
        <f>AB78*Лаб.Журнал!$E$22*Отчет!L49/100</f>
        <v>4.6372046091749775E-2</v>
      </c>
      <c r="AC80" s="13">
        <f>AC78*Лаб.Журнал!$E$22*Отчет!M49/100</f>
        <v>3.938441527078921E-2</v>
      </c>
      <c r="AD80" s="13">
        <f>AD78*Лаб.Журнал!$E$22*Отчет!N49/100</f>
        <v>3.0367270137774138E-2</v>
      </c>
      <c r="AE80" s="13">
        <f>AE78*Лаб.Журнал!$E$22*Отчет!O49/100</f>
        <v>2.3710611967666755E-2</v>
      </c>
      <c r="AF80" s="13">
        <f>AF78*Лаб.Журнал!$E$22*Отчет!P49/100</f>
        <v>1.5232120704280754E-2</v>
      </c>
      <c r="AG80" s="13">
        <f>AG78*Лаб.Журнал!$E$22*Отчет!Q49/100</f>
        <v>6.0035286604175732E-3</v>
      </c>
      <c r="AH80" s="47">
        <f>AH78*Лаб.Журнал!$E$22*Отчет!R49/100</f>
        <v>-7.8794464415891051E-4</v>
      </c>
    </row>
    <row r="81" spans="2:34">
      <c r="B81" s="38" t="s">
        <v>43</v>
      </c>
      <c r="C81" s="42">
        <f>C80/C79</f>
        <v>5.494944678392402E-3</v>
      </c>
      <c r="D81" s="43">
        <f t="shared" ref="D81:AH81" si="7">D80/D79</f>
        <v>5.8850650665255667E-2</v>
      </c>
      <c r="E81" s="43">
        <f t="shared" si="7"/>
        <v>0.11405739442985112</v>
      </c>
      <c r="F81" s="43">
        <f t="shared" si="7"/>
        <v>0.16502667905620361</v>
      </c>
      <c r="G81" s="43">
        <f t="shared" si="7"/>
        <v>0.21287792717255435</v>
      </c>
      <c r="H81" s="43">
        <f t="shared" si="7"/>
        <v>0.25594946521167644</v>
      </c>
      <c r="I81" s="43">
        <f t="shared" si="7"/>
        <v>0.29341311421040772</v>
      </c>
      <c r="J81" s="43">
        <f t="shared" si="7"/>
        <v>0.32739466298357672</v>
      </c>
      <c r="K81" s="43">
        <f t="shared" si="7"/>
        <v>0.31201218692609428</v>
      </c>
      <c r="L81" s="43">
        <f t="shared" si="7"/>
        <v>0.28317353980180615</v>
      </c>
      <c r="M81" s="43">
        <f t="shared" si="7"/>
        <v>0.24645520422821043</v>
      </c>
      <c r="N81" s="43">
        <f t="shared" si="7"/>
        <v>0.19417403015075338</v>
      </c>
      <c r="O81" s="43">
        <f t="shared" si="7"/>
        <v>0.15427158251699993</v>
      </c>
      <c r="P81" s="43">
        <f t="shared" si="7"/>
        <v>9.8991518070268708E-2</v>
      </c>
      <c r="Q81" s="43">
        <f t="shared" si="7"/>
        <v>3.6874669745586543E-2</v>
      </c>
      <c r="R81" s="43">
        <f t="shared" si="7"/>
        <v>-1.2134120963058419E-2</v>
      </c>
      <c r="S81" s="43">
        <f t="shared" si="7"/>
        <v>1.0964222738933342E-2</v>
      </c>
      <c r="T81" s="43">
        <f t="shared" si="7"/>
        <v>6.42466617795482E-2</v>
      </c>
      <c r="U81" s="43">
        <f t="shared" si="7"/>
        <v>0.11741739551033621</v>
      </c>
      <c r="V81" s="43">
        <f t="shared" si="7"/>
        <v>0.16827069594300817</v>
      </c>
      <c r="W81" s="43">
        <f t="shared" si="7"/>
        <v>0.21678631243808866</v>
      </c>
      <c r="X81" s="43">
        <f t="shared" si="7"/>
        <v>0.26206880985655867</v>
      </c>
      <c r="Y81" s="43">
        <f t="shared" si="7"/>
        <v>0.30203127164134697</v>
      </c>
      <c r="Z81" s="43">
        <f t="shared" si="7"/>
        <v>0.34001299648140054</v>
      </c>
      <c r="AA81" s="43">
        <f t="shared" si="7"/>
        <v>0.32186057094696241</v>
      </c>
      <c r="AB81" s="43">
        <f t="shared" si="7"/>
        <v>0.29020657122853971</v>
      </c>
      <c r="AC81" s="43">
        <f t="shared" si="7"/>
        <v>0.24994632974670042</v>
      </c>
      <c r="AD81" s="43">
        <f t="shared" si="7"/>
        <v>0.19620331052644041</v>
      </c>
      <c r="AE81" s="43">
        <f t="shared" si="7"/>
        <v>0.15517687793318818</v>
      </c>
      <c r="AF81" s="43">
        <f t="shared" si="7"/>
        <v>0.10131922718143939</v>
      </c>
      <c r="AG81" s="43">
        <f t="shared" si="7"/>
        <v>4.0664017408924939E-2</v>
      </c>
      <c r="AH81" s="44">
        <f t="shared" si="7"/>
        <v>-5.4130555732708422E-3</v>
      </c>
    </row>
    <row r="107" spans="1:34">
      <c r="A107" s="16">
        <v>4</v>
      </c>
      <c r="B107" s="79" t="s">
        <v>44</v>
      </c>
      <c r="C107" s="80"/>
      <c r="D107" s="80"/>
      <c r="E107" s="80"/>
      <c r="F107" s="80"/>
      <c r="G107" s="80"/>
      <c r="H107" s="80"/>
      <c r="I107" s="80"/>
    </row>
    <row r="109" spans="1:34">
      <c r="B109" s="18" t="str">
        <f t="shared" ref="B109:AH109" si="8">B78</f>
        <v>T, K</v>
      </c>
      <c r="C109" s="39">
        <f t="shared" si="8"/>
        <v>303.25</v>
      </c>
      <c r="D109" s="40">
        <f t="shared" si="8"/>
        <v>308.04999999999995</v>
      </c>
      <c r="E109" s="40">
        <f t="shared" si="8"/>
        <v>313.14999999999998</v>
      </c>
      <c r="F109" s="40">
        <f t="shared" si="8"/>
        <v>318.04999999999995</v>
      </c>
      <c r="G109" s="40">
        <f t="shared" si="8"/>
        <v>323.04999999999995</v>
      </c>
      <c r="H109" s="40">
        <f t="shared" si="8"/>
        <v>328.04999999999995</v>
      </c>
      <c r="I109" s="40">
        <f t="shared" si="8"/>
        <v>333.04999999999995</v>
      </c>
      <c r="J109" s="40">
        <f t="shared" si="8"/>
        <v>338.15</v>
      </c>
      <c r="K109" s="40">
        <f t="shared" si="8"/>
        <v>335.45</v>
      </c>
      <c r="L109" s="40">
        <f t="shared" si="8"/>
        <v>331.34999999999997</v>
      </c>
      <c r="M109" s="40">
        <f t="shared" si="8"/>
        <v>326.75</v>
      </c>
      <c r="N109" s="40">
        <f t="shared" si="8"/>
        <v>320.95</v>
      </c>
      <c r="O109" s="40">
        <f t="shared" si="8"/>
        <v>316.84999999999997</v>
      </c>
      <c r="P109" s="40">
        <f t="shared" si="8"/>
        <v>311.75</v>
      </c>
      <c r="Q109" s="40">
        <f t="shared" si="8"/>
        <v>306.14999999999998</v>
      </c>
      <c r="R109" s="40">
        <f t="shared" si="8"/>
        <v>301.84999999999997</v>
      </c>
      <c r="S109" s="40">
        <f t="shared" si="8"/>
        <v>303.25</v>
      </c>
      <c r="T109" s="40">
        <f t="shared" si="8"/>
        <v>308.04999999999995</v>
      </c>
      <c r="U109" s="40">
        <f t="shared" si="8"/>
        <v>313.14999999999998</v>
      </c>
      <c r="V109" s="40">
        <f t="shared" si="8"/>
        <v>318.04999999999995</v>
      </c>
      <c r="W109" s="40">
        <f t="shared" si="8"/>
        <v>323.04999999999995</v>
      </c>
      <c r="X109" s="40">
        <f t="shared" si="8"/>
        <v>328.04999999999995</v>
      </c>
      <c r="Y109" s="40">
        <f t="shared" si="8"/>
        <v>333.04999999999995</v>
      </c>
      <c r="Z109" s="40">
        <f t="shared" si="8"/>
        <v>338.15</v>
      </c>
      <c r="AA109" s="40">
        <f t="shared" si="8"/>
        <v>335.45</v>
      </c>
      <c r="AB109" s="40">
        <f t="shared" si="8"/>
        <v>331.34999999999997</v>
      </c>
      <c r="AC109" s="40">
        <f t="shared" si="8"/>
        <v>326.75</v>
      </c>
      <c r="AD109" s="40">
        <f t="shared" si="8"/>
        <v>320.95</v>
      </c>
      <c r="AE109" s="40">
        <f t="shared" si="8"/>
        <v>316.84999999999997</v>
      </c>
      <c r="AF109" s="40">
        <f t="shared" si="8"/>
        <v>311.75</v>
      </c>
      <c r="AG109" s="40">
        <f t="shared" si="8"/>
        <v>306.14999999999998</v>
      </c>
      <c r="AH109" s="41">
        <f t="shared" si="8"/>
        <v>301.84999999999997</v>
      </c>
    </row>
    <row r="110" spans="1:34">
      <c r="B110" s="18" t="s">
        <v>46</v>
      </c>
      <c r="C110" s="42">
        <f>2*C81*C81*C79/(1-C81)*Лаб.Журнал!$F$27</f>
        <v>2.930396862721482E-4</v>
      </c>
      <c r="D110" s="42">
        <f>2*D81*D81*D79/(1-D81)*Лаб.Журнал!$F$27</f>
        <v>3.6080386565935353E-2</v>
      </c>
      <c r="E110" s="42">
        <f>2*E81*E81*E79/(1-E81)*Лаб.Журнал!$F$27</f>
        <v>0.14635234924182716</v>
      </c>
      <c r="F110" s="42">
        <f>2*F81*F81*F79/(1-F81)*Лаб.Журнал!$F$27</f>
        <v>0.33016961134023037</v>
      </c>
      <c r="G110" s="42">
        <f>2*G81*G81*G79/(1-G81)*Лаб.Журнал!$F$27</f>
        <v>0.59196345608471423</v>
      </c>
      <c r="H110" s="42">
        <f>2*H81*H81*H79/(1-H81)*Лаб.Журнал!$F$27</f>
        <v>0.91928894871553046</v>
      </c>
      <c r="I110" s="42">
        <f>2*I81*I81*I79/(1-I81)*Лаб.Журнал!$F$27</f>
        <v>1.2915430433262214</v>
      </c>
      <c r="J110" s="42">
        <f>2*J81*J81*J79/(1-J81)*Лаб.Журнал!$F$27</f>
        <v>1.715134769479099</v>
      </c>
      <c r="K110" s="42">
        <f>2*K81*K81*K79/(1-K81)*Лаб.Журнал!$F$27</f>
        <v>1.5107623160328632</v>
      </c>
      <c r="L110" s="42">
        <f>2*L81*L81*L79/(1-L81)*Лаб.Журнал!$F$27</f>
        <v>1.1797344556951948</v>
      </c>
      <c r="M110" s="42">
        <f>2*M81*M81*M79/(1-M81)*Лаб.Журнал!$F$27</f>
        <v>0.83827880466476457</v>
      </c>
      <c r="N110" s="42">
        <f>2*N81*N81*N79/(1-N81)*Лаб.Журнал!$F$27</f>
        <v>0.47795211434949714</v>
      </c>
      <c r="O110" s="42">
        <f>2*O81*O81*O79/(1-O81)*Лаб.Журнал!$F$27</f>
        <v>0.28379231732876009</v>
      </c>
      <c r="P110" s="42">
        <f>2*P81*P81*P79/(1-P81)*Лаб.Журнал!$F$27</f>
        <v>0.10791443193278701</v>
      </c>
      <c r="Q110" s="42">
        <f>2*Q81*Q81*Q79/(1-Q81)*Лаб.Журнал!$F$27</f>
        <v>1.3756682531698684E-2</v>
      </c>
      <c r="R110" s="42">
        <f>2*R81*R81*R79/(1-R81)*Лаб.Журнал!$F$27</f>
        <v>1.3975769577128975E-3</v>
      </c>
      <c r="S110" s="42">
        <f>2*S81*S81*S79/(1-S81)*Лаб.Журнал!$F$27</f>
        <v>1.1731417324123974E-3</v>
      </c>
      <c r="T110" s="42">
        <f>2*T81*T81*T79/(1-T81)*Лаб.Журнал!$F$27</f>
        <v>4.3248090706930337E-2</v>
      </c>
      <c r="U110" s="42">
        <f>2*U81*U81*U79/(1-U81)*Лаб.Журнал!$F$27</f>
        <v>0.15569258013617585</v>
      </c>
      <c r="V110" s="42">
        <f>2*V81*V81*V79/(1-V81)*Лаб.Журнал!$F$27</f>
        <v>0.34461672908954266</v>
      </c>
      <c r="W110" s="42">
        <f>2*W81*W81*W79/(1-W81)*Лаб.Журнал!$F$27</f>
        <v>0.61696307178623488</v>
      </c>
      <c r="X110" s="42">
        <f>2*X81*X81*X79/(1-X81)*Лаб.Журнал!$F$27</f>
        <v>0.97176404286273199</v>
      </c>
      <c r="Y110" s="42">
        <f>2*Y81*Y81*Y79/(1-Y81)*Лаб.Журнал!$F$27</f>
        <v>1.3854258054646249</v>
      </c>
      <c r="Z110" s="42">
        <f>2*Z81*Z81*Z79/(1-Z81)*Лаб.Журнал!$F$27</f>
        <v>1.8852589920422729</v>
      </c>
      <c r="AA110" s="42">
        <f>2*AA81*AA81*AA79/(1-AA81)*Лаб.Журнал!$F$27</f>
        <v>1.6309863711990507</v>
      </c>
      <c r="AB110" s="42">
        <f>2*AB81*AB81*AB79/(1-AB81)*Лаб.Журнал!$F$27</f>
        <v>1.2513403883556133</v>
      </c>
      <c r="AC110" s="42">
        <f>2*AC81*AC81*AC79/(1-AC81)*Лаб.Журнал!$F$27</f>
        <v>0.86620913784307119</v>
      </c>
      <c r="AD110" s="42">
        <f>2*AD81*AD81*AD79/(1-AD81)*Лаб.Журнал!$F$27</f>
        <v>0.4892263114626168</v>
      </c>
      <c r="AE110" s="42">
        <f>2*AE81*AE81*AE79/(1-AE81)*Лаб.Журнал!$F$27</f>
        <v>0.28744047177798637</v>
      </c>
      <c r="AF110" s="42">
        <f>2*AF81*AF81*AF79/(1-AF81)*Лаб.Журнал!$F$27</f>
        <v>0.11334196207916997</v>
      </c>
      <c r="AG110" s="42">
        <f>2*AG81*AG81*AG79/(1-AG81)*Лаб.Журнал!$F$27</f>
        <v>1.6795389200337386E-2</v>
      </c>
      <c r="AH110" s="42">
        <f>2*AH81*AH81*AH79/(1-AH81)*Лаб.Журнал!$F$27</f>
        <v>2.799868334453342E-4</v>
      </c>
    </row>
    <row r="138" spans="1:34">
      <c r="A138" s="16">
        <v>5</v>
      </c>
      <c r="B138" s="79" t="s">
        <v>47</v>
      </c>
      <c r="C138" s="80"/>
      <c r="D138" s="80"/>
      <c r="E138" s="80"/>
      <c r="F138" s="80"/>
      <c r="G138" s="80"/>
      <c r="H138" s="80"/>
      <c r="I138" s="80"/>
    </row>
    <row r="140" spans="1:34">
      <c r="B140" s="18" t="s">
        <v>48</v>
      </c>
      <c r="C140" s="39">
        <f>1/C109</f>
        <v>3.2976092333058533E-3</v>
      </c>
      <c r="D140" s="40">
        <f t="shared" ref="D140:AB140" si="9">1/D109</f>
        <v>3.2462262619704597E-3</v>
      </c>
      <c r="E140" s="40">
        <f t="shared" si="9"/>
        <v>3.1933578157432542E-3</v>
      </c>
      <c r="F140" s="40">
        <f t="shared" si="9"/>
        <v>3.1441597233139449E-3</v>
      </c>
      <c r="G140" s="40">
        <f t="shared" si="9"/>
        <v>3.0954960532425324E-3</v>
      </c>
      <c r="H140" s="40">
        <f t="shared" si="9"/>
        <v>3.048315805517452E-3</v>
      </c>
      <c r="I140" s="40">
        <f t="shared" si="9"/>
        <v>3.0025521693439429E-3</v>
      </c>
      <c r="J140" s="40">
        <f t="shared" si="9"/>
        <v>2.9572674848440043E-3</v>
      </c>
      <c r="K140" s="40">
        <f t="shared" si="9"/>
        <v>2.9810702042033089E-3</v>
      </c>
      <c r="L140" s="40">
        <f t="shared" si="9"/>
        <v>3.0179568432171424E-3</v>
      </c>
      <c r="M140" s="40">
        <f t="shared" si="9"/>
        <v>3.06044376434583E-3</v>
      </c>
      <c r="N140" s="40">
        <f t="shared" si="9"/>
        <v>3.1157501168406296E-3</v>
      </c>
      <c r="O140" s="40">
        <f t="shared" si="9"/>
        <v>3.1560675398453531E-3</v>
      </c>
      <c r="P140" s="40">
        <f t="shared" si="9"/>
        <v>3.2076984763432237E-3</v>
      </c>
      <c r="Q140" s="40">
        <f t="shared" si="9"/>
        <v>3.2663726931242859E-3</v>
      </c>
      <c r="R140" s="40">
        <f t="shared" si="9"/>
        <v>3.3129037601457682E-3</v>
      </c>
      <c r="S140" s="40">
        <f t="shared" si="9"/>
        <v>3.2976092333058533E-3</v>
      </c>
      <c r="T140" s="40">
        <f t="shared" si="9"/>
        <v>3.2462262619704597E-3</v>
      </c>
      <c r="U140" s="40">
        <f t="shared" si="9"/>
        <v>3.1933578157432542E-3</v>
      </c>
      <c r="V140" s="40">
        <f t="shared" si="9"/>
        <v>3.1441597233139449E-3</v>
      </c>
      <c r="W140" s="40">
        <f t="shared" si="9"/>
        <v>3.0954960532425324E-3</v>
      </c>
      <c r="X140" s="40">
        <f t="shared" si="9"/>
        <v>3.048315805517452E-3</v>
      </c>
      <c r="Y140" s="40">
        <f t="shared" si="9"/>
        <v>3.0025521693439429E-3</v>
      </c>
      <c r="Z140" s="40">
        <f t="shared" si="9"/>
        <v>2.9572674848440043E-3</v>
      </c>
      <c r="AA140" s="40">
        <f t="shared" si="9"/>
        <v>2.9810702042033089E-3</v>
      </c>
      <c r="AB140" s="40">
        <f t="shared" si="9"/>
        <v>3.0179568432171424E-3</v>
      </c>
      <c r="AC140" s="40">
        <f t="shared" ref="AC140:AH140" si="10">1/AC109</f>
        <v>3.06044376434583E-3</v>
      </c>
      <c r="AD140" s="40">
        <f t="shared" si="10"/>
        <v>3.1157501168406296E-3</v>
      </c>
      <c r="AE140" s="40">
        <f t="shared" si="10"/>
        <v>3.1560675398453531E-3</v>
      </c>
      <c r="AF140" s="40">
        <f t="shared" si="10"/>
        <v>3.2076984763432237E-3</v>
      </c>
      <c r="AG140" s="40">
        <f t="shared" si="10"/>
        <v>3.2663726931242859E-3</v>
      </c>
      <c r="AH140" s="41">
        <f t="shared" si="10"/>
        <v>3.3129037601457682E-3</v>
      </c>
    </row>
    <row r="141" spans="1:34">
      <c r="B141" s="18" t="s">
        <v>49</v>
      </c>
      <c r="C141" s="42">
        <f>LN(C110)</f>
        <v>-8.1352025100916538</v>
      </c>
      <c r="D141" s="43">
        <f t="shared" ref="D141:AB141" si="11">LN(D110)</f>
        <v>-3.322005869711647</v>
      </c>
      <c r="E141" s="43">
        <f t="shared" si="11"/>
        <v>-1.9217382137569714</v>
      </c>
      <c r="F141" s="43">
        <f t="shared" si="11"/>
        <v>-1.1081487828026082</v>
      </c>
      <c r="G141" s="43">
        <f t="shared" si="11"/>
        <v>-0.52431037559011207</v>
      </c>
      <c r="H141" s="43">
        <f t="shared" si="11"/>
        <v>-8.4154789597140484E-2</v>
      </c>
      <c r="I141" s="43">
        <f t="shared" si="11"/>
        <v>0.25583766116425738</v>
      </c>
      <c r="J141" s="43">
        <f t="shared" si="11"/>
        <v>0.53949166031708451</v>
      </c>
      <c r="K141" s="43">
        <f t="shared" si="11"/>
        <v>0.41261436849031796</v>
      </c>
      <c r="L141" s="43">
        <f t="shared" si="11"/>
        <v>0.16528937560638018</v>
      </c>
      <c r="M141" s="43">
        <f t="shared" si="11"/>
        <v>-0.17640453136932657</v>
      </c>
      <c r="N141" s="43">
        <f t="shared" si="11"/>
        <v>-0.73824473069410324</v>
      </c>
      <c r="O141" s="43">
        <f t="shared" si="11"/>
        <v>-1.2595125853457985</v>
      </c>
      <c r="P141" s="43">
        <f t="shared" si="11"/>
        <v>-2.2264166628096422</v>
      </c>
      <c r="Q141" s="43">
        <f t="shared" si="11"/>
        <v>-4.2862305706250678</v>
      </c>
      <c r="R141" s="43">
        <f t="shared" si="11"/>
        <v>-6.5730152863203388</v>
      </c>
      <c r="S141" s="43">
        <f t="shared" si="11"/>
        <v>-6.7480698876139575</v>
      </c>
      <c r="T141" s="43">
        <f t="shared" si="11"/>
        <v>-3.140802192083191</v>
      </c>
      <c r="U141" s="43">
        <f t="shared" si="11"/>
        <v>-1.8598718561513436</v>
      </c>
      <c r="V141" s="43">
        <f t="shared" si="11"/>
        <v>-1.0653224096663483</v>
      </c>
      <c r="W141" s="43">
        <f t="shared" si="11"/>
        <v>-0.48294610810577493</v>
      </c>
      <c r="X141" s="43">
        <f t="shared" si="11"/>
        <v>-2.8642258247730399E-2</v>
      </c>
      <c r="Y141" s="43">
        <f t="shared" si="11"/>
        <v>0.3260075331577551</v>
      </c>
      <c r="Z141" s="43">
        <f t="shared" si="11"/>
        <v>0.63406520777086384</v>
      </c>
      <c r="AA141" s="43">
        <f t="shared" si="11"/>
        <v>0.48918496750283053</v>
      </c>
      <c r="AB141" s="43">
        <f t="shared" si="11"/>
        <v>0.22421528748426703</v>
      </c>
      <c r="AC141" s="43">
        <f t="shared" ref="AC141:AH141" si="12">LN(AC110)</f>
        <v>-0.14362890091175576</v>
      </c>
      <c r="AD141" s="43">
        <f t="shared" si="12"/>
        <v>-0.71493009194126722</v>
      </c>
      <c r="AE141" s="43">
        <f t="shared" si="12"/>
        <v>-1.2467394948687773</v>
      </c>
      <c r="AF141" s="43">
        <f t="shared" si="12"/>
        <v>-2.1773458169455613</v>
      </c>
      <c r="AG141" s="43">
        <f t="shared" si="12"/>
        <v>-4.0866508826027355</v>
      </c>
      <c r="AH141" s="44">
        <f t="shared" si="12"/>
        <v>-8.1807679793101808</v>
      </c>
    </row>
    <row r="143" spans="1:34">
      <c r="B143" s="81" t="s">
        <v>50</v>
      </c>
      <c r="C143" s="82"/>
      <c r="D143" s="82"/>
      <c r="E143" s="82"/>
    </row>
    <row r="145" spans="1:34">
      <c r="A145" s="16">
        <v>6</v>
      </c>
      <c r="B145" s="38" t="s">
        <v>51</v>
      </c>
      <c r="C145" s="13">
        <f>МНК!$B$9*Лаб.Журнал!E22*(-1)</f>
        <v>168764.17659741716</v>
      </c>
    </row>
    <row r="146" spans="1:34">
      <c r="B146" s="38" t="s">
        <v>52</v>
      </c>
      <c r="C146" s="13">
        <f>МНК!$B$10*Лаб.Журнал!E22</f>
        <v>513.61904342205389</v>
      </c>
    </row>
    <row r="148" spans="1:34">
      <c r="A148" s="16">
        <v>7</v>
      </c>
      <c r="B148" s="79" t="s">
        <v>105</v>
      </c>
      <c r="C148" s="80"/>
      <c r="D148" s="80"/>
      <c r="E148" s="80"/>
      <c r="F148" s="80"/>
      <c r="G148" s="80"/>
      <c r="H148" s="80"/>
    </row>
    <row r="150" spans="1:34">
      <c r="B150" s="18" t="str">
        <f>$B$109</f>
        <v>T, K</v>
      </c>
      <c r="C150" s="39">
        <f t="shared" ref="C149:AH150" si="13">C78</f>
        <v>303.25</v>
      </c>
      <c r="D150" s="40">
        <f t="shared" si="13"/>
        <v>308.04999999999995</v>
      </c>
      <c r="E150" s="40">
        <f t="shared" si="13"/>
        <v>313.14999999999998</v>
      </c>
      <c r="F150" s="40">
        <f t="shared" si="13"/>
        <v>318.04999999999995</v>
      </c>
      <c r="G150" s="40">
        <f t="shared" si="13"/>
        <v>323.04999999999995</v>
      </c>
      <c r="H150" s="40">
        <f t="shared" si="13"/>
        <v>328.04999999999995</v>
      </c>
      <c r="I150" s="40">
        <f t="shared" si="13"/>
        <v>333.04999999999995</v>
      </c>
      <c r="J150" s="40">
        <f t="shared" si="13"/>
        <v>338.15</v>
      </c>
      <c r="K150" s="40">
        <f t="shared" si="13"/>
        <v>335.45</v>
      </c>
      <c r="L150" s="40">
        <f t="shared" si="13"/>
        <v>331.34999999999997</v>
      </c>
      <c r="M150" s="40">
        <f t="shared" si="13"/>
        <v>326.75</v>
      </c>
      <c r="N150" s="40">
        <f t="shared" si="13"/>
        <v>320.95</v>
      </c>
      <c r="O150" s="40">
        <f t="shared" si="13"/>
        <v>316.84999999999997</v>
      </c>
      <c r="P150" s="40">
        <f t="shared" si="13"/>
        <v>311.75</v>
      </c>
      <c r="Q150" s="40">
        <f t="shared" si="13"/>
        <v>306.14999999999998</v>
      </c>
      <c r="R150" s="40">
        <f t="shared" si="13"/>
        <v>301.84999999999997</v>
      </c>
      <c r="S150" s="40">
        <f t="shared" si="13"/>
        <v>303.25</v>
      </c>
      <c r="T150" s="40">
        <f t="shared" si="13"/>
        <v>308.04999999999995</v>
      </c>
      <c r="U150" s="40">
        <f t="shared" si="13"/>
        <v>313.14999999999998</v>
      </c>
      <c r="V150" s="40">
        <f t="shared" si="13"/>
        <v>318.04999999999995</v>
      </c>
      <c r="W150" s="40">
        <f t="shared" si="13"/>
        <v>323.04999999999995</v>
      </c>
      <c r="X150" s="40">
        <f t="shared" si="13"/>
        <v>328.04999999999995</v>
      </c>
      <c r="Y150" s="40">
        <f t="shared" si="13"/>
        <v>333.04999999999995</v>
      </c>
      <c r="Z150" s="40">
        <f t="shared" si="13"/>
        <v>338.15</v>
      </c>
      <c r="AA150" s="40">
        <f t="shared" si="13"/>
        <v>335.45</v>
      </c>
      <c r="AB150" s="40">
        <f t="shared" si="13"/>
        <v>331.34999999999997</v>
      </c>
      <c r="AC150" s="40">
        <f t="shared" si="13"/>
        <v>326.75</v>
      </c>
      <c r="AD150" s="40">
        <f t="shared" si="13"/>
        <v>320.95</v>
      </c>
      <c r="AE150" s="40">
        <f t="shared" si="13"/>
        <v>316.84999999999997</v>
      </c>
      <c r="AF150" s="40">
        <f t="shared" si="13"/>
        <v>311.75</v>
      </c>
      <c r="AG150" s="40">
        <f t="shared" si="13"/>
        <v>306.14999999999998</v>
      </c>
      <c r="AH150" s="41">
        <f t="shared" si="13"/>
        <v>301.84999999999997</v>
      </c>
    </row>
    <row r="151" spans="1:34">
      <c r="B151" s="18" t="s">
        <v>92</v>
      </c>
      <c r="C151" s="42">
        <f>C110/C150/Лаб.Журнал!$E$22</f>
        <v>1.162228665693366E-7</v>
      </c>
      <c r="D151" s="42">
        <f>D110/D150/Лаб.Журнал!$E$22</f>
        <v>1.4086915856518103E-5</v>
      </c>
      <c r="E151" s="42">
        <f>E110/E150/Лаб.Журнал!$E$22</f>
        <v>5.62099545014078E-5</v>
      </c>
      <c r="F151" s="42">
        <f>F110/F150/Лаб.Журнал!$E$22</f>
        <v>1.2485549197881418E-4</v>
      </c>
      <c r="G151" s="42">
        <f>G110/G150/Лаб.Журнал!$E$22</f>
        <v>2.2038960341068959E-4</v>
      </c>
      <c r="H151" s="42">
        <f>H110/H150/Лаб.Журнал!$E$22</f>
        <v>3.3703728590997776E-4</v>
      </c>
      <c r="I151" s="42">
        <f>I110/I150/Лаб.Журнал!$E$22</f>
        <v>4.6640736338141308E-4</v>
      </c>
      <c r="J151" s="42">
        <f>J110/J150/Лаб.Журнал!$E$22</f>
        <v>6.1003508176188902E-4</v>
      </c>
      <c r="K151" s="42">
        <f>K110/K150/Лаб.Журнал!$E$22</f>
        <v>5.4166939596302728E-4</v>
      </c>
      <c r="L151" s="42">
        <f>L110/L150/Лаб.Журнал!$E$22</f>
        <v>4.2821634522799596E-4</v>
      </c>
      <c r="M151" s="42">
        <f>M110/M150/Лаб.Журнал!$E$22</f>
        <v>3.0855944228723871E-4</v>
      </c>
      <c r="N151" s="42">
        <f>N110/N150/Лаб.Журнал!$E$22</f>
        <v>1.7910716464192162E-4</v>
      </c>
      <c r="O151" s="42">
        <f>O110/O150/Лаб.Журнал!$E$22</f>
        <v>1.0772410003521475E-4</v>
      </c>
      <c r="P151" s="42">
        <f>P110/P150/Лаб.Журнал!$E$22</f>
        <v>4.1633125769592419E-5</v>
      </c>
      <c r="Q151" s="42">
        <f>Q110/Q150/Лаб.Журнал!$E$22</f>
        <v>5.4043740867741793E-6</v>
      </c>
      <c r="R151" s="42">
        <f>R110/R150/Лаб.Журнал!$E$22</f>
        <v>5.5686574453423814E-7</v>
      </c>
      <c r="S151" s="42">
        <f>S110/S150/Лаб.Журнал!$E$22</f>
        <v>4.6528133021020552E-7</v>
      </c>
      <c r="T151" s="42">
        <f>T110/T150/Лаб.Журнал!$E$22</f>
        <v>1.6885412622457485E-5</v>
      </c>
      <c r="U151" s="42">
        <f>U110/U150/Лаб.Журнал!$E$22</f>
        <v>5.9797283002274356E-5</v>
      </c>
      <c r="V151" s="42">
        <f>V110/V150/Лаб.Журнал!$E$22</f>
        <v>1.3031875065651084E-4</v>
      </c>
      <c r="W151" s="42">
        <f>W110/W150/Лаб.Журнал!$E$22</f>
        <v>2.2969702827491855E-4</v>
      </c>
      <c r="X151" s="42">
        <f>X110/X150/Лаб.Журнал!$E$22</f>
        <v>3.562761371264044E-4</v>
      </c>
      <c r="Y151" s="42">
        <f>Y110/Y150/Лаб.Журнал!$E$22</f>
        <v>5.0031069458063282E-4</v>
      </c>
      <c r="Z151" s="42">
        <f>Z110/Z150/Лаб.Журнал!$E$22</f>
        <v>6.705444632214714E-4</v>
      </c>
      <c r="AA151" s="42">
        <f>AA110/AA150/Лаб.Журнал!$E$22</f>
        <v>5.8477458243147093E-4</v>
      </c>
      <c r="AB151" s="42">
        <f>AB110/AB150/Лаб.Журнал!$E$22</f>
        <v>4.5420764406008563E-4</v>
      </c>
      <c r="AC151" s="42">
        <f>AC110/AC150/Лаб.Журнал!$E$22</f>
        <v>3.1884023190095387E-4</v>
      </c>
      <c r="AD151" s="42">
        <f>AD110/AD150/Лаб.Журнал!$E$22</f>
        <v>1.833320428628147E-4</v>
      </c>
      <c r="AE151" s="42">
        <f>AE110/AE150/Лаб.Журнал!$E$22</f>
        <v>1.0910889493921879E-4</v>
      </c>
      <c r="AF151" s="42">
        <f>AF110/AF150/Лаб.Журнал!$E$22</f>
        <v>4.3727053719316095E-5</v>
      </c>
      <c r="AG151" s="42">
        <f>AG110/AG150/Лаб.Журнал!$E$22</f>
        <v>6.5981435540463926E-6</v>
      </c>
      <c r="AH151" s="42">
        <f>AH110/AH150/Лаб.Журнал!$E$22</f>
        <v>1.1156099533972796E-7</v>
      </c>
    </row>
    <row r="152" spans="1:34">
      <c r="C152" s="13">
        <f>LN(C151)</f>
        <v>-15.967756225577501</v>
      </c>
      <c r="D152" s="13">
        <f t="shared" ref="D152:AH152" si="14">LN(D151)</f>
        <v>-11.170264144833915</v>
      </c>
      <c r="E152" s="13">
        <f t="shared" si="14"/>
        <v>-9.7864166903900802</v>
      </c>
      <c r="F152" s="13">
        <f t="shared" si="14"/>
        <v>-8.9883535535891088</v>
      </c>
      <c r="G152" s="13">
        <f t="shared" si="14"/>
        <v>-8.4201136532559744</v>
      </c>
      <c r="H152" s="13">
        <f t="shared" si="14"/>
        <v>-7.9953169930497143</v>
      </c>
      <c r="I152" s="13">
        <f t="shared" si="14"/>
        <v>-7.6704511353566183</v>
      </c>
      <c r="J152" s="13">
        <f t="shared" si="14"/>
        <v>-7.4019940913655526</v>
      </c>
      <c r="K152" s="13">
        <f t="shared" si="14"/>
        <v>-7.5208547131802668</v>
      </c>
      <c r="L152" s="13">
        <f t="shared" si="14"/>
        <v>-7.7558820105895432</v>
      </c>
      <c r="M152" s="13">
        <f t="shared" si="14"/>
        <v>-8.0835960515353449</v>
      </c>
      <c r="N152" s="13">
        <f t="shared" si="14"/>
        <v>-8.6275262461135789</v>
      </c>
      <c r="O152" s="13">
        <f t="shared" si="14"/>
        <v>-9.1359372287770118</v>
      </c>
      <c r="P152" s="13">
        <f t="shared" si="14"/>
        <v>-10.086614415031477</v>
      </c>
      <c r="Q152" s="13">
        <f t="shared" si="14"/>
        <v>-12.128301916210718</v>
      </c>
      <c r="R152" s="13">
        <f t="shared" si="14"/>
        <v>-14.400941659224461</v>
      </c>
      <c r="S152" s="13">
        <f t="shared" si="14"/>
        <v>-14.580623603099806</v>
      </c>
      <c r="T152" s="13">
        <f t="shared" si="14"/>
        <v>-10.989060467205459</v>
      </c>
      <c r="U152" s="13">
        <f t="shared" si="14"/>
        <v>-9.7245503327844531</v>
      </c>
      <c r="V152" s="13">
        <f t="shared" si="14"/>
        <v>-8.9455271804528493</v>
      </c>
      <c r="W152" s="13">
        <f t="shared" si="14"/>
        <v>-8.3787493857716377</v>
      </c>
      <c r="X152" s="13">
        <f t="shared" si="14"/>
        <v>-7.9398044617003043</v>
      </c>
      <c r="Y152" s="13">
        <f t="shared" si="14"/>
        <v>-7.6002812633631214</v>
      </c>
      <c r="Z152" s="13">
        <f t="shared" si="14"/>
        <v>-7.307420543911773</v>
      </c>
      <c r="AA152" s="13">
        <f t="shared" si="14"/>
        <v>-7.444284114167754</v>
      </c>
      <c r="AB152" s="13">
        <f t="shared" si="14"/>
        <v>-7.6969560987116568</v>
      </c>
      <c r="AC152" s="13">
        <f t="shared" si="14"/>
        <v>-8.0508204210777752</v>
      </c>
      <c r="AD152" s="13">
        <f t="shared" si="14"/>
        <v>-8.6042116073607424</v>
      </c>
      <c r="AE152" s="13">
        <f t="shared" si="14"/>
        <v>-9.1231641382999911</v>
      </c>
      <c r="AF152" s="13">
        <f t="shared" si="14"/>
        <v>-10.037543569167395</v>
      </c>
      <c r="AG152" s="13">
        <f t="shared" si="14"/>
        <v>-11.928722228188386</v>
      </c>
      <c r="AH152" s="13">
        <f t="shared" si="14"/>
        <v>-16.008694352214302</v>
      </c>
    </row>
    <row r="180" spans="2:8">
      <c r="B180" s="13" t="s">
        <v>103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  <c r="H180" s="13" t="s">
        <v>100</v>
      </c>
    </row>
    <row r="181" spans="2:8">
      <c r="B181" s="18" t="s">
        <v>93</v>
      </c>
    </row>
    <row r="182" spans="2:8">
      <c r="B182" s="18" t="s">
        <v>102</v>
      </c>
      <c r="C182" s="13">
        <v>13.3</v>
      </c>
      <c r="D182" s="13">
        <v>8</v>
      </c>
      <c r="E182" s="13">
        <v>5.5</v>
      </c>
      <c r="F182" s="13">
        <v>4.8</v>
      </c>
      <c r="G182" s="13">
        <v>2.2000000000000002</v>
      </c>
      <c r="H182" s="13">
        <v>382</v>
      </c>
    </row>
    <row r="183" spans="2:8">
      <c r="B183" s="18" t="s">
        <v>101</v>
      </c>
      <c r="C183" s="13">
        <f>C182</f>
        <v>13.3</v>
      </c>
      <c r="D183" s="13">
        <f t="shared" ref="D183:G183" si="15">D182</f>
        <v>8</v>
      </c>
      <c r="E183" s="13">
        <f t="shared" si="15"/>
        <v>5.5</v>
      </c>
      <c r="F183" s="13">
        <f t="shared" si="15"/>
        <v>4.8</v>
      </c>
      <c r="G183" s="13">
        <f t="shared" si="15"/>
        <v>2.2000000000000002</v>
      </c>
      <c r="H183" s="13">
        <f>H182</f>
        <v>382</v>
      </c>
    </row>
    <row r="184" spans="2:8">
      <c r="B184" s="18" t="s">
        <v>94</v>
      </c>
      <c r="C184" s="13">
        <f>C181*C183*C183/C182</f>
        <v>0</v>
      </c>
      <c r="D184" s="13">
        <f t="shared" ref="D184:H184" si="16">D181*D183*D183/D182</f>
        <v>0</v>
      </c>
      <c r="E184" s="13">
        <f t="shared" si="16"/>
        <v>0</v>
      </c>
      <c r="F184" s="13">
        <f t="shared" si="16"/>
        <v>0</v>
      </c>
      <c r="G184" s="13">
        <f t="shared" si="16"/>
        <v>0</v>
      </c>
      <c r="H184" s="13">
        <f t="shared" si="16"/>
        <v>0</v>
      </c>
    </row>
  </sheetData>
  <mergeCells count="16">
    <mergeCell ref="B2:O2"/>
    <mergeCell ref="B4:E4"/>
    <mergeCell ref="B9:E9"/>
    <mergeCell ref="C5:J5"/>
    <mergeCell ref="K5:R5"/>
    <mergeCell ref="C10:J10"/>
    <mergeCell ref="K10:R10"/>
    <mergeCell ref="B41:G41"/>
    <mergeCell ref="B46:G46"/>
    <mergeCell ref="C47:R47"/>
    <mergeCell ref="B39:J39"/>
    <mergeCell ref="B76:H76"/>
    <mergeCell ref="B107:I107"/>
    <mergeCell ref="B138:I138"/>
    <mergeCell ref="B143:E143"/>
    <mergeCell ref="B148:H1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2"/>
  <sheetViews>
    <sheetView topLeftCell="F1" zoomScale="90" zoomScaleNormal="90" workbookViewId="0">
      <selection activeCell="R19" sqref="R19"/>
    </sheetView>
  </sheetViews>
  <sheetFormatPr defaultColWidth="9" defaultRowHeight="14.4"/>
  <cols>
    <col min="4" max="5" width="8.88671875" customWidth="1"/>
  </cols>
  <sheetData>
    <row r="1" spans="1:33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  <c r="AG1" s="11">
        <v>32</v>
      </c>
    </row>
    <row r="2" spans="1:33">
      <c r="A2" s="1" t="str">
        <f>Отчет!B140</f>
        <v>1/Т, 1/К</v>
      </c>
      <c r="B2" s="1">
        <f>Отчет!C140</f>
        <v>3.2976092333058533E-3</v>
      </c>
      <c r="C2" s="1">
        <f>Отчет!D140</f>
        <v>3.2462262619704597E-3</v>
      </c>
      <c r="D2" s="1">
        <f>Отчет!E140</f>
        <v>3.1933578157432542E-3</v>
      </c>
      <c r="E2" s="1">
        <f>Отчет!F140</f>
        <v>3.1441597233139449E-3</v>
      </c>
      <c r="F2" s="1">
        <f>Отчет!G140</f>
        <v>3.0954960532425324E-3</v>
      </c>
      <c r="G2" s="1">
        <f>Отчет!H140</f>
        <v>3.048315805517452E-3</v>
      </c>
      <c r="H2" s="1">
        <f>Отчет!I140</f>
        <v>3.0025521693439429E-3</v>
      </c>
      <c r="I2" s="1">
        <f>Отчет!J140</f>
        <v>2.9572674848440043E-3</v>
      </c>
      <c r="J2" s="1">
        <f>Отчет!K140</f>
        <v>2.9810702042033089E-3</v>
      </c>
      <c r="K2" s="1">
        <f>Отчет!L140</f>
        <v>3.0179568432171424E-3</v>
      </c>
      <c r="L2" s="1">
        <f>Отчет!M140</f>
        <v>3.06044376434583E-3</v>
      </c>
      <c r="M2" s="1">
        <f>Отчет!N140</f>
        <v>3.1157501168406296E-3</v>
      </c>
      <c r="N2" s="1">
        <f>Отчет!O140</f>
        <v>3.1560675398453531E-3</v>
      </c>
      <c r="O2" s="1">
        <f>Отчет!P140</f>
        <v>3.2076984763432237E-3</v>
      </c>
      <c r="P2" s="1">
        <f>Отчет!Q140</f>
        <v>3.2663726931242859E-3</v>
      </c>
      <c r="Q2" s="1">
        <f>Отчет!R140</f>
        <v>3.3129037601457682E-3</v>
      </c>
      <c r="R2" s="1">
        <f>Отчет!S140</f>
        <v>3.2976092333058533E-3</v>
      </c>
      <c r="S2" s="1">
        <f>Отчет!T140</f>
        <v>3.2462262619704597E-3</v>
      </c>
      <c r="T2" s="1">
        <f>Отчет!U140</f>
        <v>3.1933578157432542E-3</v>
      </c>
      <c r="U2" s="1">
        <f>Отчет!V140</f>
        <v>3.1441597233139449E-3</v>
      </c>
      <c r="V2">
        <f>Отчет!W140</f>
        <v>3.0954960532425324E-3</v>
      </c>
      <c r="W2">
        <f>Отчет!X140</f>
        <v>3.048315805517452E-3</v>
      </c>
      <c r="X2">
        <f>Отчет!Y140</f>
        <v>3.0025521693439429E-3</v>
      </c>
      <c r="Y2">
        <f>Отчет!Z140</f>
        <v>2.9572674848440043E-3</v>
      </c>
      <c r="Z2">
        <f>Отчет!AA140</f>
        <v>2.9810702042033089E-3</v>
      </c>
      <c r="AA2">
        <f>Отчет!AB140</f>
        <v>3.0179568432171424E-3</v>
      </c>
      <c r="AB2">
        <f>Отчет!AC140</f>
        <v>3.06044376434583E-3</v>
      </c>
      <c r="AC2">
        <f>Отчет!AD140</f>
        <v>3.1157501168406296E-3</v>
      </c>
      <c r="AD2">
        <f>Отчет!AE140</f>
        <v>3.1560675398453531E-3</v>
      </c>
      <c r="AE2">
        <f>Отчет!AF140</f>
        <v>3.2076984763432237E-3</v>
      </c>
      <c r="AF2">
        <f>Отчет!AG140</f>
        <v>3.2663726931242859E-3</v>
      </c>
      <c r="AG2">
        <f>Отчет!AH140</f>
        <v>3.3129037601457682E-3</v>
      </c>
    </row>
    <row r="3" spans="1:33">
      <c r="A3" s="1" t="str">
        <f>Отчет!B141</f>
        <v>ln(Kp)</v>
      </c>
      <c r="B3" s="1">
        <f>Отчет!C141</f>
        <v>-8.1352025100916538</v>
      </c>
      <c r="C3" s="1">
        <f>Отчет!D141</f>
        <v>-3.322005869711647</v>
      </c>
      <c r="D3" s="1">
        <f>Отчет!E141</f>
        <v>-1.9217382137569714</v>
      </c>
      <c r="E3" s="1">
        <f>Отчет!F141</f>
        <v>-1.1081487828026082</v>
      </c>
      <c r="F3" s="1">
        <f>Отчет!G141</f>
        <v>-0.52431037559011207</v>
      </c>
      <c r="G3" s="1">
        <f>Отчет!H141</f>
        <v>-8.4154789597140484E-2</v>
      </c>
      <c r="H3" s="1">
        <f>Отчет!I141</f>
        <v>0.25583766116425738</v>
      </c>
      <c r="I3" s="1">
        <f>Отчет!J141</f>
        <v>0.53949166031708451</v>
      </c>
      <c r="J3" s="1">
        <f>Отчет!K141</f>
        <v>0.41261436849031796</v>
      </c>
      <c r="K3" s="1">
        <f>Отчет!L141</f>
        <v>0.16528937560638018</v>
      </c>
      <c r="L3" s="1">
        <f>Отчет!M141</f>
        <v>-0.17640453136932657</v>
      </c>
      <c r="M3" s="1">
        <f>Отчет!N141</f>
        <v>-0.73824473069410324</v>
      </c>
      <c r="N3" s="1">
        <f>Отчет!O141</f>
        <v>-1.2595125853457985</v>
      </c>
      <c r="O3" s="1">
        <f>Отчет!P141</f>
        <v>-2.2264166628096422</v>
      </c>
      <c r="P3" s="1">
        <f>Отчет!Q141</f>
        <v>-4.2862305706250678</v>
      </c>
      <c r="Q3" s="1">
        <f>Отчет!R141</f>
        <v>-6.5730152863203388</v>
      </c>
      <c r="R3" s="1">
        <f>Отчет!S141</f>
        <v>-6.7480698876139575</v>
      </c>
      <c r="S3" s="1">
        <f>Отчет!T141</f>
        <v>-3.140802192083191</v>
      </c>
      <c r="T3" s="1">
        <f>Отчет!U141</f>
        <v>-1.8598718561513436</v>
      </c>
      <c r="U3" s="1">
        <f>Отчет!V141</f>
        <v>-1.0653224096663483</v>
      </c>
      <c r="V3">
        <f>Отчет!W141</f>
        <v>-0.48294610810577493</v>
      </c>
      <c r="W3">
        <f>Отчет!X141</f>
        <v>-2.8642258247730399E-2</v>
      </c>
      <c r="X3">
        <f>Отчет!Y141</f>
        <v>0.3260075331577551</v>
      </c>
      <c r="Y3">
        <f>Отчет!Z141</f>
        <v>0.63406520777086384</v>
      </c>
      <c r="Z3">
        <f>Отчет!AA141</f>
        <v>0.48918496750283053</v>
      </c>
      <c r="AA3">
        <f>Отчет!AB141</f>
        <v>0.22421528748426703</v>
      </c>
      <c r="AB3">
        <f>Отчет!AC141</f>
        <v>-0.14362890091175576</v>
      </c>
      <c r="AC3">
        <f>Отчет!AD141</f>
        <v>-0.71493009194126722</v>
      </c>
      <c r="AD3">
        <f>Отчет!AE141</f>
        <v>-1.2467394948687773</v>
      </c>
      <c r="AE3">
        <f>Отчет!AF141</f>
        <v>-2.1773458169455613</v>
      </c>
      <c r="AF3">
        <f>Отчет!AG141</f>
        <v>-4.0866508826027355</v>
      </c>
      <c r="AG3">
        <f>Отчет!AH141</f>
        <v>-8.1807679793101808</v>
      </c>
    </row>
    <row r="4" spans="1:33">
      <c r="A4" s="1" t="s">
        <v>5</v>
      </c>
      <c r="B4" s="3">
        <f>B2*B2</f>
        <v>1.0874226655584017E-5</v>
      </c>
      <c r="C4" s="3">
        <f t="shared" ref="C4:G5" si="0">C2*C2</f>
        <v>1.0537984943906704E-5</v>
      </c>
      <c r="D4" s="3">
        <f t="shared" si="0"/>
        <v>1.0197534139368528E-5</v>
      </c>
      <c r="E4" s="3">
        <f t="shared" si="0"/>
        <v>9.8857403657096229E-6</v>
      </c>
      <c r="F4" s="3">
        <f t="shared" si="0"/>
        <v>9.5820958156400959E-6</v>
      </c>
      <c r="G4" s="3">
        <f t="shared" si="0"/>
        <v>9.2922292501675115E-6</v>
      </c>
      <c r="H4" s="3">
        <f t="shared" ref="H4:L4" si="1">H2*H2</f>
        <v>9.0153195296320178E-6</v>
      </c>
      <c r="I4" s="3">
        <f t="shared" si="1"/>
        <v>8.7454309769155832E-6</v>
      </c>
      <c r="J4" s="3">
        <f t="shared" si="1"/>
        <v>8.8867795623887589E-6</v>
      </c>
      <c r="K4" s="3">
        <f t="shared" si="1"/>
        <v>9.1080635075211802E-6</v>
      </c>
      <c r="L4" s="3">
        <f t="shared" si="1"/>
        <v>9.3663160347232746E-6</v>
      </c>
      <c r="M4" s="3">
        <f t="shared" ref="M4:P4" si="2">M2*M2</f>
        <v>9.7078987905923978E-6</v>
      </c>
      <c r="N4" s="3">
        <f t="shared" si="2"/>
        <v>9.9607623160654999E-6</v>
      </c>
      <c r="O4" s="3">
        <f t="shared" si="2"/>
        <v>1.028932951513464E-5</v>
      </c>
      <c r="P4" s="3">
        <f t="shared" si="2"/>
        <v>1.0669190570387999E-5</v>
      </c>
      <c r="Q4" s="3">
        <f t="shared" ref="Q4:U4" si="3">Q2*Q2</f>
        <v>1.0975331323987969E-5</v>
      </c>
      <c r="R4" s="3">
        <f t="shared" si="3"/>
        <v>1.0874226655584017E-5</v>
      </c>
      <c r="S4" s="3">
        <f t="shared" si="3"/>
        <v>1.0537984943906704E-5</v>
      </c>
      <c r="T4" s="3">
        <f t="shared" si="3"/>
        <v>1.0197534139368528E-5</v>
      </c>
      <c r="U4" s="3">
        <f t="shared" si="3"/>
        <v>9.8857403657096229E-6</v>
      </c>
      <c r="V4" s="3">
        <f t="shared" ref="V4:AG4" si="4">V2*V2</f>
        <v>9.5820958156400959E-6</v>
      </c>
      <c r="W4" s="3">
        <f t="shared" si="4"/>
        <v>9.2922292501675115E-6</v>
      </c>
      <c r="X4" s="3">
        <f t="shared" si="4"/>
        <v>9.0153195296320178E-6</v>
      </c>
      <c r="Y4" s="3">
        <f t="shared" si="4"/>
        <v>8.7454309769155832E-6</v>
      </c>
      <c r="Z4" s="3">
        <f t="shared" si="4"/>
        <v>8.8867795623887589E-6</v>
      </c>
      <c r="AA4" s="3">
        <f t="shared" si="4"/>
        <v>9.1080635075211802E-6</v>
      </c>
      <c r="AB4" s="3">
        <f t="shared" si="4"/>
        <v>9.3663160347232746E-6</v>
      </c>
      <c r="AC4" s="3">
        <f t="shared" si="4"/>
        <v>9.7078987905923978E-6</v>
      </c>
      <c r="AD4" s="3">
        <f t="shared" si="4"/>
        <v>9.9607623160654999E-6</v>
      </c>
      <c r="AE4" s="3">
        <f t="shared" si="4"/>
        <v>1.028932951513464E-5</v>
      </c>
      <c r="AF4" s="3">
        <f t="shared" si="4"/>
        <v>1.0669190570387999E-5</v>
      </c>
      <c r="AG4" s="3">
        <f t="shared" si="4"/>
        <v>1.0975331323987969E-5</v>
      </c>
    </row>
    <row r="5" spans="1:33">
      <c r="A5" s="1" t="s">
        <v>6</v>
      </c>
      <c r="B5" s="3">
        <f>B3*B3</f>
        <v>66.181519880201549</v>
      </c>
      <c r="C5" s="3">
        <f t="shared" si="0"/>
        <v>11.035722998398636</v>
      </c>
      <c r="D5" s="3">
        <f t="shared" si="0"/>
        <v>3.6930777622138353</v>
      </c>
      <c r="E5" s="3">
        <f t="shared" si="0"/>
        <v>1.2279937248269022</v>
      </c>
      <c r="F5" s="3">
        <f t="shared" si="0"/>
        <v>0.27490136995144437</v>
      </c>
      <c r="G5" s="3">
        <f t="shared" si="0"/>
        <v>7.0820286121389842E-3</v>
      </c>
      <c r="H5" s="3">
        <f t="shared" ref="H5:L5" si="5">H3*H3</f>
        <v>6.545290886999737E-2</v>
      </c>
      <c r="I5" s="3">
        <f t="shared" si="5"/>
        <v>0.29105125155168449</v>
      </c>
      <c r="J5" s="3">
        <f t="shared" si="5"/>
        <v>0.17025061708466391</v>
      </c>
      <c r="K5" s="3">
        <f t="shared" si="5"/>
        <v>2.7320577688347027E-2</v>
      </c>
      <c r="L5" s="3">
        <f t="shared" si="5"/>
        <v>3.1118558687631723E-2</v>
      </c>
      <c r="M5" s="3">
        <f t="shared" ref="M5:P5" si="6">M3*M3</f>
        <v>0.54500528239760904</v>
      </c>
      <c r="N5" s="3">
        <f t="shared" si="6"/>
        <v>1.5863719526444573</v>
      </c>
      <c r="O5" s="3">
        <f t="shared" si="6"/>
        <v>4.9569311564364238</v>
      </c>
      <c r="P5" s="3">
        <f t="shared" si="6"/>
        <v>18.371772504560894</v>
      </c>
      <c r="Q5" s="3">
        <f t="shared" ref="Q5:U5" si="7">Q3*Q3</f>
        <v>43.204529954200844</v>
      </c>
      <c r="R5" s="3">
        <f t="shared" si="7"/>
        <v>45.536447208122247</v>
      </c>
      <c r="S5" s="3">
        <f t="shared" si="7"/>
        <v>9.8646384097945781</v>
      </c>
      <c r="T5" s="3">
        <f t="shared" si="7"/>
        <v>3.4591233213038444</v>
      </c>
      <c r="U5" s="3">
        <f t="shared" si="7"/>
        <v>1.1349118365373148</v>
      </c>
      <c r="V5" s="3">
        <f t="shared" ref="V5:AG5" si="8">V3*V3</f>
        <v>0.23323694333451483</v>
      </c>
      <c r="W5" s="3">
        <f t="shared" si="8"/>
        <v>8.2037895752968008E-4</v>
      </c>
      <c r="X5" s="3">
        <f t="shared" si="8"/>
        <v>0.10628091167560479</v>
      </c>
      <c r="Y5" s="3">
        <f t="shared" si="8"/>
        <v>0.40203868770550871</v>
      </c>
      <c r="Z5" s="3">
        <f t="shared" si="8"/>
        <v>0.23930193243074535</v>
      </c>
      <c r="AA5" s="3">
        <f t="shared" si="8"/>
        <v>5.027249514165251E-2</v>
      </c>
      <c r="AB5" s="3">
        <f t="shared" si="8"/>
        <v>2.0629261177118954E-2</v>
      </c>
      <c r="AC5" s="3">
        <f t="shared" si="8"/>
        <v>0.51112503636314877</v>
      </c>
      <c r="AD5" s="3">
        <f t="shared" si="8"/>
        <v>1.554359368065654</v>
      </c>
      <c r="AE5" s="3">
        <f t="shared" si="8"/>
        <v>4.7408348065703336</v>
      </c>
      <c r="AF5" s="3">
        <f t="shared" si="8"/>
        <v>16.700715436277715</v>
      </c>
      <c r="AG5" s="3">
        <f t="shared" si="8"/>
        <v>66.924964731306773</v>
      </c>
    </row>
    <row r="6" spans="1:33">
      <c r="A6" s="1" t="s">
        <v>7</v>
      </c>
      <c r="B6" s="5">
        <f>B2*B3</f>
        <v>-2.6826718912091194E-2</v>
      </c>
      <c r="C6" s="5">
        <f t="shared" ref="C6:G6" si="9">C2*C3</f>
        <v>-1.0783982696677966E-2</v>
      </c>
      <c r="D6" s="5">
        <f t="shared" si="9"/>
        <v>-6.1367977447133052E-3</v>
      </c>
      <c r="E6" s="5">
        <f t="shared" si="9"/>
        <v>-3.4841967703273333E-3</v>
      </c>
      <c r="F6" s="5">
        <f t="shared" si="9"/>
        <v>-1.6230006983133018E-3</v>
      </c>
      <c r="G6" s="5">
        <f t="shared" si="9"/>
        <v>-2.5653037523895898E-4</v>
      </c>
      <c r="H6" s="5">
        <f t="shared" ref="H6:L6" si="10">H2*H3</f>
        <v>7.6816592452862164E-4</v>
      </c>
      <c r="I6" s="5">
        <f t="shared" si="10"/>
        <v>1.5954211454002204E-3</v>
      </c>
      <c r="J6" s="5">
        <f t="shared" si="10"/>
        <v>1.2300323997326515E-3</v>
      </c>
      <c r="K6" s="5">
        <f t="shared" si="10"/>
        <v>4.9883620222236364E-4</v>
      </c>
      <c r="L6" s="5">
        <f t="shared" si="10"/>
        <v>-5.3987614803160391E-4</v>
      </c>
      <c r="M6" s="5">
        <f t="shared" ref="M6:P6" si="11">M2*M3</f>
        <v>-2.3001861059171315E-3</v>
      </c>
      <c r="N6" s="5">
        <f t="shared" si="11"/>
        <v>-3.9751067866365744E-3</v>
      </c>
      <c r="O6" s="5">
        <f t="shared" si="11"/>
        <v>-7.1416733369996542E-3</v>
      </c>
      <c r="P6" s="5">
        <f t="shared" si="11"/>
        <v>-1.4000426492324247E-2</v>
      </c>
      <c r="Q6" s="5">
        <f t="shared" ref="Q6:U6" si="12">Q2*Q3</f>
        <v>-2.1775767057546264E-2</v>
      </c>
      <c r="R6" s="5">
        <f t="shared" si="12"/>
        <v>-2.2252497568388978E-2</v>
      </c>
      <c r="S6" s="5">
        <f t="shared" si="12"/>
        <v>-1.0195754559594842E-2</v>
      </c>
      <c r="T6" s="5">
        <f t="shared" si="12"/>
        <v>-5.9392363281218063E-3</v>
      </c>
      <c r="U6" s="5">
        <f t="shared" si="12"/>
        <v>-3.3495438128166907E-3</v>
      </c>
      <c r="V6" s="5">
        <f t="shared" ref="V6:AG6" si="13">V2*V3</f>
        <v>-1.4949577715702676E-3</v>
      </c>
      <c r="W6" s="5">
        <f t="shared" si="13"/>
        <v>-8.7310648522269174E-5</v>
      </c>
      <c r="X6" s="5">
        <f t="shared" si="13"/>
        <v>9.7885462590528499E-4</v>
      </c>
      <c r="Y6" s="5">
        <f t="shared" si="13"/>
        <v>1.8751004222116335E-3</v>
      </c>
      <c r="Z6" s="5">
        <f t="shared" si="13"/>
        <v>1.4582947309668521E-3</v>
      </c>
      <c r="AA6" s="5">
        <f t="shared" si="13"/>
        <v>6.7667206121704263E-4</v>
      </c>
      <c r="AB6" s="5">
        <f t="shared" si="13"/>
        <v>-4.39568174175228E-4</v>
      </c>
      <c r="AC6" s="5">
        <f t="shared" si="13"/>
        <v>-2.2275435174988856E-3</v>
      </c>
      <c r="AD6" s="5">
        <f t="shared" si="13"/>
        <v>-3.9347940503985405E-3</v>
      </c>
      <c r="AE6" s="5">
        <f t="shared" si="13"/>
        <v>-6.9842688594885689E-3</v>
      </c>
      <c r="AF6" s="5">
        <f t="shared" si="13"/>
        <v>-1.3348524849265837E-2</v>
      </c>
      <c r="AG6" s="5">
        <f t="shared" si="13"/>
        <v>-2.7102096999536796E-2</v>
      </c>
    </row>
    <row r="7" spans="1:33">
      <c r="A7" s="1" t="s">
        <v>0</v>
      </c>
      <c r="B7" s="6">
        <f>AVERAGE(B2:AG2)</f>
        <v>3.1314529965841865E-3</v>
      </c>
      <c r="C7" s="1" t="s">
        <v>2</v>
      </c>
      <c r="D7" s="4">
        <f>AVERAGE(B4:AG4)</f>
        <v>9.8183895811078638E-6</v>
      </c>
      <c r="E7" s="1" t="s">
        <v>4</v>
      </c>
      <c r="F7" s="7">
        <f>AVERAGE(B6:AG6)</f>
        <v>-5.847468211000361E-3</v>
      </c>
    </row>
    <row r="8" spans="1:33">
      <c r="A8" s="1" t="s">
        <v>1</v>
      </c>
      <c r="B8" s="6">
        <f>AVERAGE(B3:AG3)</f>
        <v>-1.7870123976771648</v>
      </c>
      <c r="C8" s="1" t="s">
        <v>3</v>
      </c>
      <c r="D8" s="4">
        <f>AVERAGE(B5:AG5)</f>
        <v>9.4734313529091061</v>
      </c>
      <c r="E8" s="1" t="s">
        <v>9</v>
      </c>
      <c r="F8" s="8">
        <v>32</v>
      </c>
    </row>
    <row r="9" spans="1:33">
      <c r="A9" s="1" t="s">
        <v>17</v>
      </c>
      <c r="B9" s="9">
        <f>(F7-B7*B8)/(D7-B7*B7)</f>
        <v>-20297.671357781161</v>
      </c>
      <c r="C9" s="1" t="s">
        <v>11</v>
      </c>
      <c r="D9" s="9">
        <f>SQRT(((D8-B8*B8)/(D7-B7*B7)-B9*B9)/F8)</f>
        <v>1721.1584719427783</v>
      </c>
      <c r="E9" s="12" t="s">
        <v>14</v>
      </c>
      <c r="F9" s="1">
        <f>D9/B9*100</f>
        <v>-8.4795858677796954</v>
      </c>
    </row>
    <row r="10" spans="1:33">
      <c r="A10" s="1" t="s">
        <v>8</v>
      </c>
      <c r="B10" s="10">
        <f>B8-B9*B7</f>
        <v>61.774191399327663</v>
      </c>
      <c r="C10" s="1" t="s">
        <v>12</v>
      </c>
      <c r="D10" s="10">
        <f>(SQRT(D7-B7*B7))*D9</f>
        <v>0.19159602830824932</v>
      </c>
      <c r="E10" s="12" t="s">
        <v>15</v>
      </c>
      <c r="F10" s="1">
        <f t="shared" ref="F10" si="14">D10/B10*100</f>
        <v>0.3101554613150867</v>
      </c>
    </row>
    <row r="11" spans="1:33">
      <c r="A11" s="1" t="s">
        <v>10</v>
      </c>
      <c r="B11" s="2">
        <f>F7/D7</f>
        <v>-595.56286320638731</v>
      </c>
      <c r="C11" s="1" t="s">
        <v>13</v>
      </c>
      <c r="D11" s="2">
        <f>SQRT((D8/D7-B11*B11)/F8)</f>
        <v>138.08636168688281</v>
      </c>
      <c r="E11" s="12" t="s">
        <v>16</v>
      </c>
      <c r="F11" s="1">
        <f>D11/B11*100</f>
        <v>-23.18585832290724</v>
      </c>
    </row>
    <row r="29" spans="1:11">
      <c r="B29" s="11">
        <v>1</v>
      </c>
      <c r="C29" s="11">
        <v>2</v>
      </c>
      <c r="D29" s="11">
        <v>3</v>
      </c>
      <c r="E29" s="11">
        <v>4</v>
      </c>
      <c r="F29" s="11">
        <v>5</v>
      </c>
      <c r="G29" s="11">
        <v>6</v>
      </c>
      <c r="H29" s="11">
        <v>7</v>
      </c>
      <c r="I29" s="11">
        <v>8</v>
      </c>
      <c r="J29" s="11">
        <v>9</v>
      </c>
      <c r="K29" s="11">
        <v>10</v>
      </c>
    </row>
    <row r="30" spans="1:11">
      <c r="A30" s="1" t="str">
        <f>'Обратная задача'!B10</f>
        <v>Т, К</v>
      </c>
      <c r="B30" s="1">
        <f>'Обратная задача'!C10</f>
        <v>273.14999999999998</v>
      </c>
      <c r="C30" s="1">
        <f>'Обратная задача'!D10</f>
        <v>283.14999999999998</v>
      </c>
      <c r="D30" s="1">
        <f>'Обратная задача'!E10</f>
        <v>293.14999999999998</v>
      </c>
      <c r="E30" s="1">
        <f>'Обратная задача'!F10</f>
        <v>294.29999999999995</v>
      </c>
      <c r="F30" s="1">
        <f>'Обратная задача'!G10</f>
        <v>298.14999999999998</v>
      </c>
      <c r="G30" s="1">
        <f>'Обратная задача'!H10</f>
        <v>303.14999999999998</v>
      </c>
      <c r="H30" s="1">
        <f>'Обратная задача'!I10</f>
        <v>313.14999999999998</v>
      </c>
      <c r="I30" s="1">
        <f>'Обратная задача'!J10</f>
        <v>323.14999999999998</v>
      </c>
      <c r="J30" s="1">
        <f>'Обратная задача'!K10</f>
        <v>333.15</v>
      </c>
      <c r="K30" s="1">
        <f>'Обратная задача'!L10</f>
        <v>343.15</v>
      </c>
    </row>
    <row r="31" spans="1:11">
      <c r="A31" s="1" t="str">
        <f>'Обратная задача'!B11</f>
        <v>Ср, Дж/(моль*К)</v>
      </c>
      <c r="B31" s="1">
        <f>'Обратная задача'!C11</f>
        <v>138.29666101200002</v>
      </c>
      <c r="C31" s="1">
        <f>'Обратная задача'!D11</f>
        <v>139.837570884</v>
      </c>
      <c r="D31" s="1">
        <f>'Обратная задача'!E11</f>
        <v>141.37848075600004</v>
      </c>
      <c r="E31" s="1">
        <f>'Обратная задача'!F11</f>
        <v>141.763708224</v>
      </c>
      <c r="F31" s="1">
        <f>'Обратная задача'!G11</f>
        <v>142.53416315999999</v>
      </c>
      <c r="G31" s="1">
        <f>'Обратная задача'!H11</f>
        <v>143.30461809600001</v>
      </c>
      <c r="H31" s="1">
        <f>'Обратная задача'!I11</f>
        <v>144.845527968</v>
      </c>
      <c r="I31" s="1">
        <f>'Обратная задача'!J11</f>
        <v>146.38643784000004</v>
      </c>
      <c r="J31" s="1">
        <f>'Обратная задача'!K11</f>
        <v>147.92734771200003</v>
      </c>
      <c r="K31" s="1">
        <f>'Обратная задача'!L11</f>
        <v>149.85348505200002</v>
      </c>
    </row>
    <row r="32" spans="1:11">
      <c r="A32" s="1" t="s">
        <v>5</v>
      </c>
      <c r="B32" s="3">
        <f>B30*B30</f>
        <v>74610.922499999986</v>
      </c>
      <c r="C32" s="3">
        <f t="shared" ref="C32:K32" si="15">C30*C30</f>
        <v>80173.922499999986</v>
      </c>
      <c r="D32" s="3">
        <f t="shared" si="15"/>
        <v>85936.922499999986</v>
      </c>
      <c r="E32" s="3">
        <f t="shared" si="15"/>
        <v>86612.489999999976</v>
      </c>
      <c r="F32" s="3">
        <f t="shared" si="15"/>
        <v>88893.422499999986</v>
      </c>
      <c r="G32" s="3">
        <f t="shared" si="15"/>
        <v>91899.922499999986</v>
      </c>
      <c r="H32" s="3">
        <f t="shared" si="15"/>
        <v>98062.922499999986</v>
      </c>
      <c r="I32" s="3">
        <f t="shared" si="15"/>
        <v>104425.92249999999</v>
      </c>
      <c r="J32" s="3">
        <f t="shared" si="15"/>
        <v>110988.92249999999</v>
      </c>
      <c r="K32" s="3">
        <f t="shared" si="15"/>
        <v>117751.92249999999</v>
      </c>
    </row>
    <row r="33" spans="1:11">
      <c r="A33" s="1" t="s">
        <v>6</v>
      </c>
      <c r="B33" s="3">
        <f>B31*B31</f>
        <v>19125.966447068044</v>
      </c>
      <c r="C33" s="3">
        <f t="shared" ref="C33:K33" si="16">C31*C31</f>
        <v>19554.546230737724</v>
      </c>
      <c r="D33" s="3">
        <f t="shared" si="16"/>
        <v>19987.874820874677</v>
      </c>
      <c r="E33" s="3">
        <f t="shared" si="16"/>
        <v>20096.948969419405</v>
      </c>
      <c r="F33" s="3">
        <f t="shared" si="16"/>
        <v>20315.9876677215</v>
      </c>
      <c r="G33" s="3">
        <f t="shared" si="16"/>
        <v>20536.213567640414</v>
      </c>
      <c r="H33" s="3">
        <f t="shared" si="16"/>
        <v>20980.22697232867</v>
      </c>
      <c r="I33" s="3">
        <f t="shared" si="16"/>
        <v>21428.989183484195</v>
      </c>
      <c r="J33" s="3">
        <f t="shared" si="16"/>
        <v>21882.500201106959</v>
      </c>
      <c r="K33" s="3">
        <f t="shared" si="16"/>
        <v>22456.066982229993</v>
      </c>
    </row>
    <row r="34" spans="1:11">
      <c r="A34" s="1" t="s">
        <v>7</v>
      </c>
      <c r="B34" s="5">
        <f>B30*B31</f>
        <v>37775.732955427804</v>
      </c>
      <c r="C34" s="5">
        <f t="shared" ref="C34:K34" si="17">C30*C31</f>
        <v>39595.008195804599</v>
      </c>
      <c r="D34" s="5">
        <f t="shared" si="17"/>
        <v>41445.101633621409</v>
      </c>
      <c r="E34" s="5">
        <f t="shared" si="17"/>
        <v>41721.059330323194</v>
      </c>
      <c r="F34" s="5">
        <f t="shared" si="17"/>
        <v>42496.560746153991</v>
      </c>
      <c r="G34" s="5">
        <f t="shared" si="17"/>
        <v>43442.794975802404</v>
      </c>
      <c r="H34" s="5">
        <f t="shared" si="17"/>
        <v>45358.377083179199</v>
      </c>
      <c r="I34" s="5">
        <f t="shared" si="17"/>
        <v>47304.777387996008</v>
      </c>
      <c r="J34" s="5">
        <f t="shared" si="17"/>
        <v>49281.995890252809</v>
      </c>
      <c r="K34" s="5">
        <f t="shared" si="17"/>
        <v>51422.223395593806</v>
      </c>
    </row>
    <row r="35" spans="1:11">
      <c r="A35" s="1" t="s">
        <v>0</v>
      </c>
      <c r="B35" s="6">
        <f>AVERAGE(B30:K30)</f>
        <v>305.76500000000004</v>
      </c>
      <c r="C35" s="1" t="s">
        <v>2</v>
      </c>
      <c r="D35" s="4">
        <f>AVERAGE(B32:K32)</f>
        <v>93935.729249999989</v>
      </c>
      <c r="E35" s="1" t="s">
        <v>4</v>
      </c>
      <c r="F35" s="7">
        <f>AVERAGE(B34:K34)</f>
        <v>43984.36315941553</v>
      </c>
    </row>
    <row r="36" spans="1:11">
      <c r="A36" s="1" t="s">
        <v>1</v>
      </c>
      <c r="B36" s="6">
        <f>AVERAGE(B31:K31)</f>
        <v>143.61280007040003</v>
      </c>
      <c r="C36" s="1" t="s">
        <v>3</v>
      </c>
      <c r="D36" s="4">
        <f>AVERAGE(B33:K33)</f>
        <v>20636.532104261154</v>
      </c>
      <c r="E36" s="1" t="s">
        <v>9</v>
      </c>
      <c r="F36" s="8">
        <v>10</v>
      </c>
    </row>
    <row r="37" spans="1:11">
      <c r="A37" s="1" t="s">
        <v>17</v>
      </c>
      <c r="B37" s="9">
        <f>(F35-B35*B36)/(D35-B35*B35)</f>
        <v>0.16368956918792299</v>
      </c>
      <c r="C37" s="1" t="s">
        <v>11</v>
      </c>
      <c r="D37" s="9">
        <f>SQRT(((D36-B36*B36)/(D35-B35*B35)-B37*B37)/F36)</f>
        <v>1.6895111992143263E-3</v>
      </c>
      <c r="E37" s="12" t="s">
        <v>14</v>
      </c>
      <c r="F37" s="1">
        <f>D37/B37*100</f>
        <v>1.0321434698595189</v>
      </c>
    </row>
    <row r="38" spans="1:11">
      <c r="A38" s="1" t="s">
        <v>8</v>
      </c>
      <c r="B38" s="10">
        <f>B36-B37*B35</f>
        <v>93.562258947654755</v>
      </c>
      <c r="C38" s="1" t="s">
        <v>12</v>
      </c>
      <c r="D38" s="10">
        <f>(SQRT(D35-B35*B35))*D37</f>
        <v>3.5579919527657308E-2</v>
      </c>
      <c r="E38" s="12" t="s">
        <v>15</v>
      </c>
      <c r="F38" s="1">
        <f t="shared" ref="F38:F39" si="18">D38/B38*100</f>
        <v>3.802806807770983E-2</v>
      </c>
    </row>
    <row r="39" spans="1:11">
      <c r="A39" s="1" t="s">
        <v>10</v>
      </c>
      <c r="B39" s="2">
        <f>F35/D35</f>
        <v>0.46823890665026729</v>
      </c>
      <c r="C39" s="1" t="s">
        <v>13</v>
      </c>
      <c r="D39" s="2">
        <f>SQRT((D36/D35-B39*B39)/F36)</f>
        <v>6.6340734689092733E-3</v>
      </c>
      <c r="E39" s="12" t="s">
        <v>16</v>
      </c>
      <c r="F39" s="1">
        <f t="shared" si="18"/>
        <v>1.4168138048093331</v>
      </c>
    </row>
    <row r="41" spans="1:11">
      <c r="A41" t="s">
        <v>72</v>
      </c>
    </row>
    <row r="42" spans="1:11"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>
        <v>6</v>
      </c>
      <c r="H42" s="11">
        <v>7</v>
      </c>
      <c r="I42" s="11">
        <v>8</v>
      </c>
      <c r="J42" s="11">
        <v>9</v>
      </c>
      <c r="K42" s="11">
        <v>10</v>
      </c>
    </row>
    <row r="43" spans="1:11">
      <c r="A43" s="1" t="str">
        <f>'Обратная задача'!B36</f>
        <v>Т, К</v>
      </c>
      <c r="B43" s="1">
        <f>'Обратная задача'!C36</f>
        <v>273.14999999999998</v>
      </c>
      <c r="C43" s="1">
        <f>'Обратная задача'!D36</f>
        <v>283.14999999999998</v>
      </c>
      <c r="D43" s="1">
        <f>'Обратная задача'!E36</f>
        <v>293.14999999999998</v>
      </c>
      <c r="E43" s="1">
        <f>'Обратная задача'!F36</f>
        <v>303.14999999999998</v>
      </c>
      <c r="F43" s="1">
        <f>'Обратная задача'!G36</f>
        <v>313.14999999999998</v>
      </c>
      <c r="G43" s="1">
        <f>'Обратная задача'!H36</f>
        <v>323.14999999999998</v>
      </c>
      <c r="H43" s="1">
        <f>'Обратная задача'!I36</f>
        <v>333.15</v>
      </c>
      <c r="I43" s="1">
        <f>'Обратная задача'!J36</f>
        <v>343.15</v>
      </c>
      <c r="J43" s="1">
        <f>'Обратная задача'!K36</f>
        <v>353.15</v>
      </c>
      <c r="K43" s="1">
        <f>'Обратная задача'!L36</f>
        <v>363.15</v>
      </c>
    </row>
    <row r="44" spans="1:11">
      <c r="A44" s="1" t="str">
        <f>'Обратная задача'!B37</f>
        <v>Ср, Дж/(моль*К)</v>
      </c>
      <c r="B44" s="1">
        <f>'Обратная задача'!C37</f>
        <v>61.034836144742258</v>
      </c>
      <c r="C44" s="1">
        <f>'Обратная задача'!D37</f>
        <v>60.270423091683284</v>
      </c>
      <c r="D44" s="1">
        <f>'Обратная задача'!E37</f>
        <v>59.594481740884433</v>
      </c>
      <c r="E44" s="1">
        <f>'Обратная задача'!F37</f>
        <v>58.995533245548891</v>
      </c>
      <c r="F44" s="1">
        <f>'Обратная задача'!G37</f>
        <v>58.463901789872743</v>
      </c>
      <c r="G44" s="1">
        <f>'Обратная задача'!H37</f>
        <v>57.99138511398148</v>
      </c>
      <c r="H44" s="1">
        <f>'Обратная задача'!I37</f>
        <v>57.570993198606288</v>
      </c>
      <c r="I44" s="1">
        <f>'Обратная задача'!J37</f>
        <v>57.196739458333255</v>
      </c>
      <c r="J44" s="1">
        <f>'Обратная задача'!K37</f>
        <v>56.86347272232635</v>
      </c>
      <c r="K44" s="1">
        <f>'Обратная задача'!L37</f>
        <v>56.566741144814038</v>
      </c>
    </row>
    <row r="45" spans="1:11">
      <c r="A45" s="1" t="s">
        <v>5</v>
      </c>
      <c r="B45" s="3">
        <f>B43*B43</f>
        <v>74610.922499999986</v>
      </c>
      <c r="C45" s="3">
        <f t="shared" ref="C45:K45" si="19">C43*C43</f>
        <v>80173.922499999986</v>
      </c>
      <c r="D45" s="3">
        <f t="shared" si="19"/>
        <v>85936.922499999986</v>
      </c>
      <c r="E45" s="3">
        <f t="shared" si="19"/>
        <v>91899.922499999986</v>
      </c>
      <c r="F45" s="3">
        <f t="shared" si="19"/>
        <v>98062.922499999986</v>
      </c>
      <c r="G45" s="3">
        <f t="shared" si="19"/>
        <v>104425.92249999999</v>
      </c>
      <c r="H45" s="3">
        <f t="shared" si="19"/>
        <v>110988.92249999999</v>
      </c>
      <c r="I45" s="3">
        <f t="shared" si="19"/>
        <v>117751.92249999999</v>
      </c>
      <c r="J45" s="3">
        <f t="shared" si="19"/>
        <v>124714.92249999999</v>
      </c>
      <c r="K45" s="3">
        <f t="shared" si="19"/>
        <v>131877.92249999999</v>
      </c>
    </row>
    <row r="46" spans="1:11">
      <c r="A46" s="1" t="s">
        <v>6</v>
      </c>
      <c r="B46" s="3">
        <f>B44*B44</f>
        <v>3725.2512232155359</v>
      </c>
      <c r="C46" s="3">
        <f t="shared" ref="C46:K46" si="20">C44*C44</f>
        <v>3632.5238996505095</v>
      </c>
      <c r="D46" s="3">
        <f t="shared" si="20"/>
        <v>3551.5022539646079</v>
      </c>
      <c r="E46" s="3">
        <f t="shared" si="20"/>
        <v>3480.4729429266645</v>
      </c>
      <c r="F46" s="3">
        <f t="shared" si="20"/>
        <v>3418.0278124958854</v>
      </c>
      <c r="G46" s="3">
        <f t="shared" si="20"/>
        <v>3363.0007474381127</v>
      </c>
      <c r="H46" s="3">
        <f t="shared" si="20"/>
        <v>3314.4192578739717</v>
      </c>
      <c r="I46" s="3">
        <f t="shared" si="20"/>
        <v>3271.4670046644565</v>
      </c>
      <c r="J46" s="3">
        <f t="shared" si="20"/>
        <v>3233.454530042753</v>
      </c>
      <c r="K46" s="3">
        <f t="shared" si="20"/>
        <v>3199.7962037443976</v>
      </c>
    </row>
    <row r="47" spans="1:11">
      <c r="A47" s="1" t="s">
        <v>7</v>
      </c>
      <c r="B47" s="5">
        <f>B43*B44</f>
        <v>16671.665492936347</v>
      </c>
      <c r="C47" s="5">
        <f t="shared" ref="C47:K47" si="21">C43*C44</f>
        <v>17065.570298410119</v>
      </c>
      <c r="D47" s="5">
        <f t="shared" si="21"/>
        <v>17470.12232234027</v>
      </c>
      <c r="E47" s="5">
        <f t="shared" si="21"/>
        <v>17884.495903388146</v>
      </c>
      <c r="F47" s="5">
        <f t="shared" si="21"/>
        <v>18307.970845498647</v>
      </c>
      <c r="G47" s="5">
        <f t="shared" si="21"/>
        <v>18739.916099583115</v>
      </c>
      <c r="H47" s="5">
        <f t="shared" si="21"/>
        <v>19179.776384115685</v>
      </c>
      <c r="I47" s="5">
        <f t="shared" si="21"/>
        <v>19627.061145127056</v>
      </c>
      <c r="J47" s="5">
        <f t="shared" si="21"/>
        <v>20081.335391889548</v>
      </c>
      <c r="K47" s="5">
        <f t="shared" si="21"/>
        <v>20542.212046739216</v>
      </c>
    </row>
    <row r="48" spans="1:11">
      <c r="A48" s="1" t="s">
        <v>0</v>
      </c>
      <c r="B48" s="6">
        <f>AVERAGE(B43:K43)</f>
        <v>318.15000000000003</v>
      </c>
      <c r="C48" s="1" t="s">
        <v>2</v>
      </c>
      <c r="D48" s="4">
        <f>AVERAGE(B45:K45)</f>
        <v>102044.42249999999</v>
      </c>
      <c r="E48" s="1" t="s">
        <v>4</v>
      </c>
      <c r="F48" s="7">
        <f>AVERAGE(B47:K47)</f>
        <v>18557.012593002815</v>
      </c>
    </row>
    <row r="49" spans="1:6">
      <c r="A49" s="1" t="s">
        <v>1</v>
      </c>
      <c r="B49" s="6">
        <f>AVERAGE(B44:K44)</f>
        <v>58.4548507650793</v>
      </c>
      <c r="C49" s="1" t="s">
        <v>3</v>
      </c>
      <c r="D49" s="4">
        <f>AVERAGE(B46:K46)</f>
        <v>3418.9915876016894</v>
      </c>
      <c r="E49" s="1" t="s">
        <v>9</v>
      </c>
      <c r="F49" s="8">
        <v>10</v>
      </c>
    </row>
    <row r="50" spans="1:6">
      <c r="A50" s="1" t="s">
        <v>17</v>
      </c>
      <c r="B50" s="9">
        <f>(F48-B48*B49)/(D48-B48*B48)</f>
        <v>-4.8967488372323564E-2</v>
      </c>
      <c r="C50" s="1" t="s">
        <v>11</v>
      </c>
      <c r="D50" s="9">
        <f>SQRT(((D49-B49*B49)/(D48-B48*B48)-B50*B50)/F49)</f>
        <v>2.3044706764869184E-3</v>
      </c>
      <c r="E50" s="12" t="s">
        <v>14</v>
      </c>
      <c r="F50" s="1">
        <f>D50/B50*100</f>
        <v>-4.7061239060596911</v>
      </c>
    </row>
    <row r="51" spans="1:6">
      <c r="A51" s="1" t="s">
        <v>8</v>
      </c>
      <c r="B51" s="10">
        <f>B49-B50*B48</f>
        <v>74.033857190734039</v>
      </c>
      <c r="C51" s="1" t="s">
        <v>12</v>
      </c>
      <c r="D51" s="10">
        <f>(SQRT(D48-B48*B48))*D50</f>
        <v>6.6190880840943697E-2</v>
      </c>
      <c r="E51" s="12" t="s">
        <v>15</v>
      </c>
      <c r="F51" s="1">
        <f t="shared" ref="F51:F52" si="22">D51/B51*100</f>
        <v>8.9406230274367018E-2</v>
      </c>
    </row>
    <row r="52" spans="1:6">
      <c r="A52" s="1" t="s">
        <v>10</v>
      </c>
      <c r="B52" s="2">
        <f>F48/D48</f>
        <v>0.1818522966603375</v>
      </c>
      <c r="C52" s="1" t="s">
        <v>13</v>
      </c>
      <c r="D52" s="2">
        <f>SQRT((D49/D48-B52*B52)/F49)</f>
        <v>6.5929938325134611E-3</v>
      </c>
      <c r="E52" s="12" t="s">
        <v>16</v>
      </c>
      <c r="F52" s="1">
        <f t="shared" si="22"/>
        <v>3.6254663557138409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"/>
  <sheetViews>
    <sheetView topLeftCell="B3" workbookViewId="0">
      <selection activeCell="F28" sqref="F28"/>
    </sheetView>
  </sheetViews>
  <sheetFormatPr defaultColWidth="9.33203125" defaultRowHeight="13.8" customHeight="1"/>
  <cols>
    <col min="1" max="1" width="9.33203125" style="17"/>
    <col min="2" max="2" width="9.21875" customWidth="1"/>
  </cols>
  <sheetData>
    <row r="2" spans="1:18" ht="21.6" customHeight="1">
      <c r="B2" s="85" t="s">
        <v>18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8"/>
      <c r="P2" s="19">
        <v>29</v>
      </c>
    </row>
    <row r="4" spans="1:18" ht="13.8" customHeight="1">
      <c r="A4" s="17">
        <v>1</v>
      </c>
      <c r="B4" s="87" t="s">
        <v>19</v>
      </c>
      <c r="C4" s="87"/>
      <c r="D4" s="87"/>
      <c r="E4" s="87"/>
      <c r="F4" s="33" t="s">
        <v>25</v>
      </c>
      <c r="G4" s="1">
        <v>490</v>
      </c>
    </row>
    <row r="5" spans="1:18" ht="13.8" customHeight="1">
      <c r="C5" s="48">
        <v>1</v>
      </c>
      <c r="D5" s="48">
        <v>2</v>
      </c>
      <c r="E5" s="48">
        <v>3</v>
      </c>
      <c r="F5" s="48">
        <v>4</v>
      </c>
      <c r="G5" s="48">
        <v>5</v>
      </c>
      <c r="H5" s="48">
        <v>6</v>
      </c>
      <c r="I5" s="48">
        <v>7</v>
      </c>
      <c r="J5" s="48">
        <v>8</v>
      </c>
      <c r="K5" s="48">
        <v>9</v>
      </c>
      <c r="L5" s="48">
        <v>10</v>
      </c>
      <c r="M5" s="48">
        <v>11</v>
      </c>
      <c r="N5" s="48">
        <v>12</v>
      </c>
      <c r="O5" s="48">
        <v>13</v>
      </c>
      <c r="P5" s="48">
        <v>14</v>
      </c>
      <c r="Q5" s="48">
        <v>15</v>
      </c>
      <c r="R5" s="48">
        <v>16</v>
      </c>
    </row>
    <row r="6" spans="1:18" ht="13.8" customHeight="1">
      <c r="B6" s="20" t="s">
        <v>20</v>
      </c>
      <c r="C6" s="30">
        <v>30.1</v>
      </c>
      <c r="D6" s="31">
        <v>34.9</v>
      </c>
      <c r="E6" s="31">
        <v>40</v>
      </c>
      <c r="F6" s="31">
        <v>44.9</v>
      </c>
      <c r="G6" s="31">
        <v>49.9</v>
      </c>
      <c r="H6" s="31">
        <v>54.9</v>
      </c>
      <c r="I6" s="31">
        <v>59.9</v>
      </c>
      <c r="J6" s="32">
        <v>65</v>
      </c>
      <c r="K6" s="30">
        <v>62.3</v>
      </c>
      <c r="L6" s="31">
        <v>58.2</v>
      </c>
      <c r="M6" s="31">
        <v>53.6</v>
      </c>
      <c r="N6" s="31">
        <v>47.8</v>
      </c>
      <c r="O6" s="31">
        <v>43.7</v>
      </c>
      <c r="P6" s="31">
        <v>38.6</v>
      </c>
      <c r="Q6" s="31">
        <v>33</v>
      </c>
      <c r="R6" s="32">
        <v>28.7</v>
      </c>
    </row>
    <row r="7" spans="1:18" ht="13.8" customHeight="1">
      <c r="B7" s="20" t="s">
        <v>21</v>
      </c>
      <c r="C7" s="24">
        <f>-LOG10(C10/$C$26)</f>
        <v>1.0995384301463193E-2</v>
      </c>
      <c r="D7" s="24">
        <f t="shared" ref="D7:R7" si="0">-LOG10(D10/$C$26)</f>
        <v>0.11776015198117658</v>
      </c>
      <c r="E7" s="24">
        <f t="shared" si="0"/>
        <v>0.22822884625413206</v>
      </c>
      <c r="F7" s="24">
        <f t="shared" si="0"/>
        <v>0.33021838479146343</v>
      </c>
      <c r="G7" s="24">
        <f t="shared" si="0"/>
        <v>0.42596873227228121</v>
      </c>
      <c r="H7" s="24">
        <f t="shared" si="0"/>
        <v>0.51215487988856445</v>
      </c>
      <c r="I7" s="24">
        <f t="shared" si="0"/>
        <v>0.58711964153502583</v>
      </c>
      <c r="J7" s="24">
        <f t="shared" si="0"/>
        <v>0.65511672063013704</v>
      </c>
      <c r="K7" s="24">
        <f t="shared" si="0"/>
        <v>0.62433638603911468</v>
      </c>
      <c r="L7" s="24">
        <f t="shared" si="0"/>
        <v>0.56663025314341409</v>
      </c>
      <c r="M7" s="24">
        <f t="shared" si="0"/>
        <v>0.49315686366064909</v>
      </c>
      <c r="N7" s="24">
        <f t="shared" si="0"/>
        <v>0.38854223433165752</v>
      </c>
      <c r="O7" s="24">
        <f t="shared" si="0"/>
        <v>0.30869743661651688</v>
      </c>
      <c r="P7" s="24">
        <f t="shared" si="0"/>
        <v>0.19808202765860766</v>
      </c>
      <c r="Q7" s="24">
        <f t="shared" si="0"/>
        <v>7.378621416091867E-2</v>
      </c>
      <c r="R7" s="24">
        <f t="shared" si="0"/>
        <v>-2.4280376047079902E-2</v>
      </c>
    </row>
    <row r="8" spans="1:18" ht="13.8" customHeight="1">
      <c r="B8" s="20" t="s">
        <v>22</v>
      </c>
      <c r="C8" s="24"/>
      <c r="D8" s="25"/>
      <c r="E8" s="25"/>
      <c r="F8" s="25"/>
      <c r="G8" s="25"/>
      <c r="H8" s="25"/>
      <c r="I8" s="25"/>
      <c r="J8" s="26"/>
      <c r="K8" s="24"/>
      <c r="L8" s="25"/>
      <c r="M8" s="25"/>
      <c r="N8" s="25"/>
      <c r="O8" s="25"/>
      <c r="P8" s="25"/>
      <c r="Q8" s="25"/>
      <c r="R8" s="26"/>
    </row>
    <row r="9" spans="1:18" ht="13.8" customHeight="1">
      <c r="B9" s="20" t="s">
        <v>23</v>
      </c>
      <c r="C9" s="27"/>
      <c r="D9" s="28"/>
      <c r="E9" s="28"/>
      <c r="F9" s="28"/>
      <c r="G9" s="28"/>
      <c r="H9" s="28"/>
      <c r="I9" s="28"/>
      <c r="J9" s="29"/>
      <c r="K9" s="27"/>
      <c r="L9" s="28"/>
      <c r="M9" s="28"/>
      <c r="N9" s="28"/>
      <c r="O9" s="28"/>
      <c r="P9" s="28"/>
      <c r="Q9" s="28"/>
      <c r="R9" s="29"/>
    </row>
    <row r="10" spans="1:18" ht="13.8" customHeight="1">
      <c r="B10" s="18" t="s">
        <v>116</v>
      </c>
      <c r="C10" s="77">
        <v>0.78</v>
      </c>
      <c r="D10">
        <v>0.61</v>
      </c>
      <c r="E10">
        <v>0.47299999999999998</v>
      </c>
      <c r="F10">
        <v>0.374</v>
      </c>
      <c r="G10">
        <v>0.3</v>
      </c>
      <c r="H10">
        <v>0.246</v>
      </c>
      <c r="I10">
        <v>0.20699999999999999</v>
      </c>
      <c r="J10">
        <v>0.17699999999999999</v>
      </c>
      <c r="K10">
        <v>0.19</v>
      </c>
      <c r="L10">
        <v>0.217</v>
      </c>
      <c r="M10">
        <v>0.25700000000000001</v>
      </c>
      <c r="N10">
        <v>0.32700000000000001</v>
      </c>
      <c r="O10">
        <v>0.39300000000000002</v>
      </c>
      <c r="P10">
        <v>0.50700000000000001</v>
      </c>
      <c r="Q10">
        <v>0.67500000000000004</v>
      </c>
      <c r="R10">
        <v>0.84599999999999997</v>
      </c>
    </row>
    <row r="11" spans="1:18" ht="13.8" customHeight="1">
      <c r="A11" s="34">
        <v>2</v>
      </c>
      <c r="B11" s="87" t="s">
        <v>19</v>
      </c>
      <c r="C11" s="87"/>
      <c r="D11" s="87"/>
      <c r="E11" s="87"/>
      <c r="F11" s="33" t="s">
        <v>25</v>
      </c>
      <c r="G11" s="1">
        <v>540</v>
      </c>
    </row>
    <row r="12" spans="1:18" ht="13.8" customHeight="1">
      <c r="C12" s="48">
        <v>1</v>
      </c>
      <c r="D12" s="48">
        <v>2</v>
      </c>
      <c r="E12" s="48">
        <v>3</v>
      </c>
      <c r="F12" s="48">
        <v>4</v>
      </c>
      <c r="G12" s="48">
        <v>5</v>
      </c>
      <c r="H12" s="48">
        <v>6</v>
      </c>
      <c r="I12" s="48">
        <v>7</v>
      </c>
      <c r="J12" s="48">
        <v>8</v>
      </c>
      <c r="K12" s="48">
        <v>9</v>
      </c>
      <c r="L12" s="48">
        <v>10</v>
      </c>
      <c r="M12" s="48">
        <v>11</v>
      </c>
      <c r="N12" s="48">
        <v>12</v>
      </c>
      <c r="O12" s="48">
        <v>13</v>
      </c>
      <c r="P12" s="48">
        <v>14</v>
      </c>
      <c r="Q12" s="48">
        <v>15</v>
      </c>
      <c r="R12" s="48">
        <v>16</v>
      </c>
    </row>
    <row r="13" spans="1:18" ht="13.8" customHeight="1">
      <c r="B13" s="20" t="s">
        <v>20</v>
      </c>
      <c r="C13" s="31">
        <f>C6</f>
        <v>30.1</v>
      </c>
      <c r="D13" s="31">
        <f>D6</f>
        <v>34.9</v>
      </c>
      <c r="E13" s="31">
        <f t="shared" ref="E13:R13" si="1">E6</f>
        <v>40</v>
      </c>
      <c r="F13" s="31">
        <f t="shared" si="1"/>
        <v>44.9</v>
      </c>
      <c r="G13" s="31">
        <f t="shared" si="1"/>
        <v>49.9</v>
      </c>
      <c r="H13" s="31">
        <f t="shared" si="1"/>
        <v>54.9</v>
      </c>
      <c r="I13" s="31">
        <f t="shared" si="1"/>
        <v>59.9</v>
      </c>
      <c r="J13" s="31">
        <f t="shared" si="1"/>
        <v>65</v>
      </c>
      <c r="K13" s="31">
        <f t="shared" si="1"/>
        <v>62.3</v>
      </c>
      <c r="L13" s="31">
        <f t="shared" si="1"/>
        <v>58.2</v>
      </c>
      <c r="M13" s="31">
        <f t="shared" si="1"/>
        <v>53.6</v>
      </c>
      <c r="N13" s="31">
        <f t="shared" si="1"/>
        <v>47.8</v>
      </c>
      <c r="O13" s="31">
        <f t="shared" si="1"/>
        <v>43.7</v>
      </c>
      <c r="P13" s="31">
        <f t="shared" si="1"/>
        <v>38.6</v>
      </c>
      <c r="Q13" s="31">
        <f t="shared" si="1"/>
        <v>33</v>
      </c>
      <c r="R13" s="31">
        <f t="shared" si="1"/>
        <v>28.7</v>
      </c>
    </row>
    <row r="14" spans="1:18" ht="13.8" customHeight="1">
      <c r="B14" s="20" t="s">
        <v>21</v>
      </c>
      <c r="C14" s="24">
        <f>-LOG10(C17/$C$27)</f>
        <v>7.3767290587543524E-3</v>
      </c>
      <c r="D14" s="24">
        <f t="shared" ref="D14:R14" si="2">-LOG10(D17/$C$27)</f>
        <v>4.3225154045280025E-2</v>
      </c>
      <c r="E14" s="24">
        <f t="shared" si="2"/>
        <v>7.8998423699354198E-2</v>
      </c>
      <c r="F14" s="24">
        <f t="shared" si="2"/>
        <v>0.11321252423045589</v>
      </c>
      <c r="G14" s="24">
        <f t="shared" si="2"/>
        <v>0.14585383100834604</v>
      </c>
      <c r="H14" s="24">
        <f t="shared" si="2"/>
        <v>0.17631989527149267</v>
      </c>
      <c r="I14" s="24">
        <f t="shared" si="2"/>
        <v>0.20320663956029825</v>
      </c>
      <c r="J14" s="24">
        <f t="shared" si="2"/>
        <v>0.22876074403268629</v>
      </c>
      <c r="K14" s="24">
        <f t="shared" si="2"/>
        <v>0.21654779213311634</v>
      </c>
      <c r="L14" s="24">
        <f t="shared" si="2"/>
        <v>0.19525098112256153</v>
      </c>
      <c r="M14" s="24">
        <f t="shared" si="2"/>
        <v>0.16816389065358001</v>
      </c>
      <c r="N14" s="24">
        <f t="shared" si="2"/>
        <v>0.13200558732218912</v>
      </c>
      <c r="O14" s="24">
        <f t="shared" si="2"/>
        <v>0.104403003473449</v>
      </c>
      <c r="P14" s="24">
        <f t="shared" si="2"/>
        <v>6.8167576047672415E-2</v>
      </c>
      <c r="Q14" s="24">
        <f t="shared" si="2"/>
        <v>2.7358750912724699E-2</v>
      </c>
      <c r="R14" s="24">
        <f t="shared" si="2"/>
        <v>-3.6419037896966221E-3</v>
      </c>
    </row>
    <row r="15" spans="1:18" ht="13.8" customHeight="1">
      <c r="B15" s="20" t="s">
        <v>22</v>
      </c>
      <c r="C15" s="24"/>
      <c r="D15" s="25"/>
      <c r="E15" s="25"/>
      <c r="F15" s="25"/>
      <c r="G15" s="25"/>
      <c r="H15" s="25"/>
      <c r="I15" s="25"/>
      <c r="J15" s="26"/>
      <c r="K15" s="24"/>
      <c r="L15" s="25"/>
      <c r="M15" s="25"/>
      <c r="N15" s="25"/>
      <c r="O15" s="25"/>
      <c r="P15" s="25"/>
      <c r="Q15" s="25"/>
      <c r="R15" s="26"/>
    </row>
    <row r="16" spans="1:18" ht="13.8" customHeight="1">
      <c r="B16" s="20" t="s">
        <v>23</v>
      </c>
      <c r="C16" s="27"/>
      <c r="D16" s="28"/>
      <c r="E16" s="28"/>
      <c r="F16" s="28"/>
      <c r="G16" s="28"/>
      <c r="H16" s="28"/>
      <c r="I16" s="28"/>
      <c r="J16" s="29"/>
      <c r="K16" s="27"/>
      <c r="L16" s="28"/>
      <c r="M16" s="28"/>
      <c r="N16" s="28"/>
      <c r="O16" s="28"/>
      <c r="P16" s="28"/>
      <c r="Q16" s="28"/>
      <c r="R16" s="29"/>
    </row>
    <row r="17" spans="1:18" ht="13.8" customHeight="1">
      <c r="B17" s="18" t="s">
        <v>116</v>
      </c>
      <c r="C17">
        <v>0.93400000000000005</v>
      </c>
      <c r="D17">
        <v>0.86</v>
      </c>
      <c r="E17">
        <v>0.79200000000000004</v>
      </c>
      <c r="F17">
        <v>0.73199999999999998</v>
      </c>
      <c r="G17">
        <v>0.67900000000000005</v>
      </c>
      <c r="H17">
        <v>0.63300000000000001</v>
      </c>
      <c r="I17">
        <v>0.59499999999999997</v>
      </c>
      <c r="J17">
        <v>0.56100000000000005</v>
      </c>
      <c r="K17">
        <v>0.57699999999999996</v>
      </c>
      <c r="L17">
        <v>0.60599999999999998</v>
      </c>
      <c r="M17">
        <v>0.64500000000000002</v>
      </c>
      <c r="N17">
        <v>0.70099999999999996</v>
      </c>
      <c r="O17">
        <v>0.747</v>
      </c>
      <c r="P17">
        <v>0.81200000000000006</v>
      </c>
      <c r="Q17">
        <v>0.89200000000000002</v>
      </c>
      <c r="R17">
        <v>0.95799999999999996</v>
      </c>
    </row>
    <row r="18" spans="1:18" ht="13.8" customHeight="1">
      <c r="A18" s="17">
        <v>3</v>
      </c>
      <c r="B18" s="79" t="s">
        <v>29</v>
      </c>
      <c r="C18" s="87"/>
      <c r="D18" s="87"/>
      <c r="E18" s="87"/>
    </row>
    <row r="19" spans="1:18" ht="13.8" customHeight="1">
      <c r="C19">
        <v>345</v>
      </c>
    </row>
    <row r="20" spans="1:18" ht="13.8" customHeight="1">
      <c r="B20" s="18" t="s">
        <v>26</v>
      </c>
      <c r="C20" s="35">
        <v>116</v>
      </c>
      <c r="D20" s="33" t="s">
        <v>39</v>
      </c>
      <c r="E20" s="35">
        <v>5.7999999999999996E-3</v>
      </c>
      <c r="F20" s="20" t="s">
        <v>69</v>
      </c>
      <c r="G20" s="35" t="s">
        <v>75</v>
      </c>
    </row>
    <row r="21" spans="1:18" ht="13.8" customHeight="1">
      <c r="B21" s="18" t="s">
        <v>27</v>
      </c>
      <c r="C21" s="36">
        <v>25</v>
      </c>
      <c r="D21" s="33" t="s">
        <v>38</v>
      </c>
      <c r="E21" s="36">
        <v>1E-4</v>
      </c>
      <c r="F21" s="20" t="s">
        <v>70</v>
      </c>
      <c r="G21" s="36"/>
    </row>
    <row r="22" spans="1:18" ht="13.8" customHeight="1">
      <c r="B22" s="33" t="s">
        <v>28</v>
      </c>
      <c r="C22" s="36">
        <v>0.2</v>
      </c>
      <c r="D22" s="20" t="s">
        <v>41</v>
      </c>
      <c r="E22" s="36">
        <f>8.31446</f>
        <v>8.3144600000000004</v>
      </c>
      <c r="F22" s="33" t="s">
        <v>71</v>
      </c>
      <c r="G22" s="75">
        <f>1</f>
        <v>1</v>
      </c>
    </row>
    <row r="23" spans="1:18" ht="13.8" customHeight="1">
      <c r="B23" s="38" t="s">
        <v>30</v>
      </c>
      <c r="C23" s="36">
        <v>0.1</v>
      </c>
      <c r="D23" s="33" t="s">
        <v>68</v>
      </c>
      <c r="E23" s="36">
        <v>46.01</v>
      </c>
    </row>
    <row r="24" spans="1:18" ht="13.8" customHeight="1">
      <c r="B24" s="38" t="s">
        <v>31</v>
      </c>
      <c r="C24" s="36">
        <v>0.1</v>
      </c>
      <c r="D24" s="33" t="s">
        <v>59</v>
      </c>
      <c r="E24" s="37">
        <f>92.01</f>
        <v>92.01</v>
      </c>
    </row>
    <row r="25" spans="1:18" ht="13.8" customHeight="1">
      <c r="B25" s="38" t="s">
        <v>32</v>
      </c>
      <c r="C25" s="37">
        <v>5</v>
      </c>
      <c r="E25">
        <v>5.7999999999999996E-3</v>
      </c>
    </row>
    <row r="26" spans="1:18" ht="13.8" customHeight="1">
      <c r="C26" s="78">
        <v>0.8</v>
      </c>
    </row>
    <row r="27" spans="1:18" ht="13.8" customHeight="1">
      <c r="C27" s="78">
        <v>0.95</v>
      </c>
      <c r="E27" t="s">
        <v>118</v>
      </c>
      <c r="F27">
        <v>33</v>
      </c>
    </row>
    <row r="28" spans="1:18" ht="13.8" customHeight="1">
      <c r="B28" s="77">
        <v>0.92200000000000004</v>
      </c>
      <c r="C28" s="77">
        <v>0.85</v>
      </c>
    </row>
    <row r="29" spans="1:18" ht="13.8" customHeight="1">
      <c r="B29">
        <v>0.98199999999999998</v>
      </c>
      <c r="C29">
        <v>0.92</v>
      </c>
    </row>
  </sheetData>
  <mergeCells count="4">
    <mergeCell ref="B18:E18"/>
    <mergeCell ref="B4:E4"/>
    <mergeCell ref="B2:O2"/>
    <mergeCell ref="B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P168"/>
  <sheetViews>
    <sheetView tabSelected="1" workbookViewId="0">
      <selection activeCell="P162" sqref="P162"/>
    </sheetView>
  </sheetViews>
  <sheetFormatPr defaultColWidth="8.6640625" defaultRowHeight="12.6" customHeight="1"/>
  <cols>
    <col min="1" max="1" width="8.6640625" style="54"/>
    <col min="2" max="2" width="10.33203125" customWidth="1"/>
    <col min="3" max="3" width="12.21875" bestFit="1" customWidth="1"/>
    <col min="4" max="7" width="10.109375" bestFit="1" customWidth="1"/>
    <col min="8" max="8" width="10.5546875" bestFit="1" customWidth="1"/>
    <col min="9" max="12" width="10.109375" bestFit="1" customWidth="1"/>
  </cols>
  <sheetData>
    <row r="2" spans="2:16" ht="12.6" customHeight="1">
      <c r="B2" s="79" t="s">
        <v>63</v>
      </c>
      <c r="C2" s="87"/>
      <c r="D2" s="87"/>
      <c r="E2" s="87"/>
      <c r="F2" s="87"/>
      <c r="G2" s="87"/>
      <c r="H2" s="89" t="str">
        <f>CONCATENATE("1 кал/(г*К) = ",L2," Дж/(кг*К)")</f>
        <v>1 кал/(г*К) = 4186,800000009 Дж/(кг*К)</v>
      </c>
      <c r="I2" s="89"/>
      <c r="J2" s="89"/>
      <c r="K2" s="89"/>
      <c r="L2">
        <v>4186.8000000089996</v>
      </c>
      <c r="N2" s="57" t="s">
        <v>56</v>
      </c>
      <c r="O2" s="55"/>
      <c r="P2" s="55"/>
    </row>
    <row r="4" spans="2:16" ht="12.6" customHeight="1">
      <c r="B4" s="20" t="s">
        <v>20</v>
      </c>
      <c r="C4" s="21">
        <v>0</v>
      </c>
      <c r="D4" s="22">
        <v>10</v>
      </c>
      <c r="E4" s="22">
        <v>20</v>
      </c>
      <c r="F4" s="22">
        <v>21.15</v>
      </c>
      <c r="G4" s="22">
        <v>25</v>
      </c>
      <c r="H4" s="22">
        <v>30</v>
      </c>
      <c r="I4" s="22">
        <v>40</v>
      </c>
      <c r="J4" s="22">
        <v>50</v>
      </c>
      <c r="K4" s="22">
        <v>60</v>
      </c>
      <c r="L4" s="23">
        <v>70</v>
      </c>
    </row>
    <row r="5" spans="2:16" ht="12.6" customHeight="1">
      <c r="B5" s="20" t="s">
        <v>53</v>
      </c>
      <c r="C5" s="24">
        <v>0.35899999999999999</v>
      </c>
      <c r="D5" s="25">
        <v>0.36299999999999999</v>
      </c>
      <c r="E5" s="25">
        <v>0.36699999999999999</v>
      </c>
      <c r="F5" s="25">
        <v>0.36799999999999999</v>
      </c>
      <c r="G5" s="25">
        <v>0.37</v>
      </c>
      <c r="H5" s="25">
        <v>0.372</v>
      </c>
      <c r="I5" s="25">
        <v>0.376</v>
      </c>
      <c r="J5" s="25">
        <v>0.38</v>
      </c>
      <c r="K5" s="25">
        <v>0.38400000000000001</v>
      </c>
      <c r="L5" s="26">
        <v>0.38900000000000001</v>
      </c>
    </row>
    <row r="6" spans="2:16" ht="12.6" customHeight="1">
      <c r="B6" s="20" t="s">
        <v>54</v>
      </c>
      <c r="C6" s="24">
        <v>263</v>
      </c>
      <c r="D6" s="25">
        <v>442</v>
      </c>
      <c r="E6" s="25">
        <v>720</v>
      </c>
      <c r="F6" s="25">
        <v>760</v>
      </c>
      <c r="G6" s="25">
        <v>927</v>
      </c>
      <c r="H6" s="25">
        <v>1134</v>
      </c>
      <c r="I6" s="25">
        <v>1810</v>
      </c>
      <c r="J6" s="25">
        <v>2688</v>
      </c>
      <c r="K6" s="25">
        <v>3981</v>
      </c>
      <c r="L6" s="26">
        <v>5584</v>
      </c>
    </row>
    <row r="7" spans="2:16" ht="12.6" customHeight="1">
      <c r="B7" s="33" t="s">
        <v>55</v>
      </c>
      <c r="C7" s="24">
        <v>0.33900000000000002</v>
      </c>
      <c r="D7" s="25">
        <v>0.32900000000000001</v>
      </c>
      <c r="E7" s="25">
        <v>0.318</v>
      </c>
      <c r="F7" s="25">
        <v>0.316</v>
      </c>
      <c r="G7" s="25">
        <v>0.312</v>
      </c>
      <c r="H7" s="25">
        <v>0.30599999999999999</v>
      </c>
      <c r="I7" s="25">
        <v>0.29299999999999998</v>
      </c>
      <c r="J7" s="25">
        <v>0.27900000000000003</v>
      </c>
      <c r="K7" s="25">
        <v>0.26100000000000001</v>
      </c>
      <c r="L7" s="26">
        <v>0.23599999999999999</v>
      </c>
    </row>
    <row r="8" spans="2:16" ht="12.6" customHeight="1">
      <c r="B8" s="33" t="s">
        <v>57</v>
      </c>
      <c r="C8" s="27">
        <v>1.488</v>
      </c>
      <c r="D8" s="28">
        <v>1.4670000000000001</v>
      </c>
      <c r="E8" s="28">
        <v>1.4450000000000001</v>
      </c>
      <c r="F8" s="28">
        <v>1.4419999999999999</v>
      </c>
      <c r="G8" s="28">
        <v>1.4339999999999999</v>
      </c>
      <c r="H8" s="28">
        <v>1.4239999999999999</v>
      </c>
      <c r="I8" s="28">
        <v>1.4</v>
      </c>
      <c r="J8" s="28">
        <v>1.375</v>
      </c>
      <c r="K8" s="28">
        <v>1.3480000000000001</v>
      </c>
      <c r="L8" s="29">
        <v>1.32</v>
      </c>
    </row>
    <row r="10" spans="2:16" ht="12.6" customHeight="1">
      <c r="B10" s="20" t="s">
        <v>60</v>
      </c>
      <c r="C10" s="21">
        <f>C4+273.15</f>
        <v>273.14999999999998</v>
      </c>
      <c r="D10" s="22">
        <f t="shared" ref="D10:L10" si="0">D4+273.15</f>
        <v>283.14999999999998</v>
      </c>
      <c r="E10" s="22">
        <f t="shared" si="0"/>
        <v>293.14999999999998</v>
      </c>
      <c r="F10" s="22">
        <f t="shared" si="0"/>
        <v>294.29999999999995</v>
      </c>
      <c r="G10" s="22">
        <f t="shared" si="0"/>
        <v>298.14999999999998</v>
      </c>
      <c r="H10" s="22">
        <f t="shared" si="0"/>
        <v>303.14999999999998</v>
      </c>
      <c r="I10" s="22">
        <f t="shared" si="0"/>
        <v>313.14999999999998</v>
      </c>
      <c r="J10" s="22">
        <f t="shared" si="0"/>
        <v>323.14999999999998</v>
      </c>
      <c r="K10" s="22">
        <f t="shared" si="0"/>
        <v>333.15</v>
      </c>
      <c r="L10" s="23">
        <f t="shared" si="0"/>
        <v>343.15</v>
      </c>
    </row>
    <row r="11" spans="2:16" ht="12.6" customHeight="1">
      <c r="B11" s="20" t="s">
        <v>61</v>
      </c>
      <c r="C11" s="58">
        <f>C5*Константы!$B$5*Лаб.Журнал!$E$24/1000</f>
        <v>138.29666101200002</v>
      </c>
      <c r="D11" s="59">
        <f>D5*Константы!$B$5*Лаб.Журнал!$E$24/1000</f>
        <v>139.837570884</v>
      </c>
      <c r="E11" s="59">
        <f>E5*Константы!$B$5*Лаб.Журнал!$E$24/1000</f>
        <v>141.37848075600004</v>
      </c>
      <c r="F11" s="59">
        <f>F5*Константы!$B$5*Лаб.Журнал!$E$24/1000</f>
        <v>141.763708224</v>
      </c>
      <c r="G11" s="59">
        <f>G5*Константы!$B$5*Лаб.Журнал!$E$24/1000</f>
        <v>142.53416315999999</v>
      </c>
      <c r="H11" s="59">
        <f>H5*Константы!$B$5*Лаб.Журнал!$E$24/1000</f>
        <v>143.30461809600001</v>
      </c>
      <c r="I11" s="59">
        <f>I5*Константы!$B$5*Лаб.Журнал!$E$24/1000</f>
        <v>144.845527968</v>
      </c>
      <c r="J11" s="59">
        <f>J5*Константы!$B$5*Лаб.Журнал!$E$24/1000</f>
        <v>146.38643784000004</v>
      </c>
      <c r="K11" s="59">
        <f>K5*Константы!$B$5*Лаб.Журнал!$E$24/1000</f>
        <v>147.92734771200003</v>
      </c>
      <c r="L11" s="60">
        <f>L5*Константы!$B$5*Лаб.Журнал!$E$24/1000</f>
        <v>149.85348505200002</v>
      </c>
    </row>
    <row r="13" spans="2:16" ht="12.6" customHeight="1">
      <c r="K13" t="s">
        <v>73</v>
      </c>
      <c r="L13">
        <f>МНК!B37</f>
        <v>0.16368956918792299</v>
      </c>
    </row>
    <row r="14" spans="2:16" ht="12.6" customHeight="1">
      <c r="K14" t="s">
        <v>74</v>
      </c>
      <c r="L14">
        <f>МНК!B38</f>
        <v>93.562258947654755</v>
      </c>
    </row>
    <row r="31" spans="2:11" ht="12.6" customHeight="1">
      <c r="B31" s="79" t="s">
        <v>62</v>
      </c>
      <c r="C31" s="80"/>
      <c r="D31" s="80"/>
      <c r="E31" s="80"/>
      <c r="F31" s="80"/>
      <c r="G31" s="80"/>
      <c r="H31" s="89" t="s">
        <v>64</v>
      </c>
      <c r="I31" s="89"/>
      <c r="J31" s="89"/>
      <c r="K31" s="89"/>
    </row>
    <row r="33" spans="2:12" ht="12.6" customHeight="1">
      <c r="B33" s="20" t="s">
        <v>20</v>
      </c>
      <c r="C33" s="21">
        <v>0</v>
      </c>
      <c r="D33" s="22">
        <v>10</v>
      </c>
      <c r="E33" s="22">
        <v>20</v>
      </c>
      <c r="F33" s="22">
        <v>30</v>
      </c>
      <c r="G33" s="22">
        <v>40</v>
      </c>
      <c r="H33" s="22">
        <v>50</v>
      </c>
      <c r="I33" s="22">
        <v>60</v>
      </c>
      <c r="J33" s="22">
        <v>70</v>
      </c>
      <c r="K33" s="22">
        <v>80</v>
      </c>
      <c r="L33" s="23">
        <v>90</v>
      </c>
    </row>
    <row r="34" spans="2:12" ht="12.6" customHeight="1">
      <c r="B34" s="20" t="s">
        <v>53</v>
      </c>
      <c r="C34" s="27">
        <f>Константы!$C$11+Константы!$C$12*'Обратная задача'!C36+Константы!$C$13/'Обратная задача'!C36/'Обратная задача'!C36</f>
        <v>0.31684242913504157</v>
      </c>
      <c r="D34" s="28">
        <f>Константы!$C$11+Константы!$C$12*'Обратная задача'!D36+Константы!$C$13/'Обратная задача'!D36/'Обратная задача'!D36</f>
        <v>0.31287422828627753</v>
      </c>
      <c r="E34" s="28">
        <f>Константы!$C$11+Константы!$C$12*'Обратная задача'!E36+Константы!$C$13/'Обратная задача'!E36/'Обратная задача'!E36</f>
        <v>0.309365299401271</v>
      </c>
      <c r="F34" s="28">
        <f>Константы!$C$11+Константы!$C$12*'Обратная задача'!F36+Константы!$C$13/'Обратная задача'!F36/'Обратная задача'!F36</f>
        <v>0.30625605379374854</v>
      </c>
      <c r="G34" s="28">
        <f>Константы!$C$11+Константы!$C$12*'Обратная задача'!G36+Константы!$C$13/'Обратная задача'!G36/'Обратная задача'!G36</f>
        <v>0.30349626262429946</v>
      </c>
      <c r="H34" s="28">
        <f>Константы!$C$11+Константы!$C$12*'Обратная задача'!H36+Константы!$C$13/'Обратная задача'!H36/'Обратная задача'!H36</f>
        <v>0.30104334653812925</v>
      </c>
      <c r="I34" s="28">
        <f>Константы!$C$11+Константы!$C$12*'Обратная задача'!I36+Константы!$C$13/'Обратная задача'!I36/'Обратная задача'!I36</f>
        <v>0.2988610191318537</v>
      </c>
      <c r="J34" s="28">
        <f>Константы!$C$11+Константы!$C$12*'Обратная задача'!J36+Константы!$C$13/'Обратная задача'!J36/'Обратная задача'!J36</f>
        <v>0.2969182030014102</v>
      </c>
      <c r="K34" s="28">
        <f>Константы!$C$11+Константы!$C$12*'Обратная задача'!K36+Константы!$C$13/'Обратная задача'!K36/'Обратная задача'!K36</f>
        <v>0.29518815752482491</v>
      </c>
      <c r="L34" s="29">
        <f>Константы!$C$11+Константы!$C$12*'Обратная задача'!L36+Константы!$C$13/'Обратная задача'!L36/'Обратная задача'!L36</f>
        <v>0.293647772397926</v>
      </c>
    </row>
    <row r="36" spans="2:12" ht="12.6" customHeight="1">
      <c r="B36" s="20" t="s">
        <v>60</v>
      </c>
      <c r="C36" s="21">
        <f>C33+273.15</f>
        <v>273.14999999999998</v>
      </c>
      <c r="D36" s="22">
        <f t="shared" ref="D36:L36" si="1">D33+273.15</f>
        <v>283.14999999999998</v>
      </c>
      <c r="E36" s="22">
        <f t="shared" si="1"/>
        <v>293.14999999999998</v>
      </c>
      <c r="F36" s="22">
        <f t="shared" si="1"/>
        <v>303.14999999999998</v>
      </c>
      <c r="G36" s="22">
        <f t="shared" si="1"/>
        <v>313.14999999999998</v>
      </c>
      <c r="H36" s="22">
        <f t="shared" si="1"/>
        <v>323.14999999999998</v>
      </c>
      <c r="I36" s="22">
        <f t="shared" si="1"/>
        <v>333.15</v>
      </c>
      <c r="J36" s="22">
        <f t="shared" si="1"/>
        <v>343.15</v>
      </c>
      <c r="K36" s="22">
        <f t="shared" si="1"/>
        <v>353.15</v>
      </c>
      <c r="L36" s="23">
        <f t="shared" si="1"/>
        <v>363.15</v>
      </c>
    </row>
    <row r="37" spans="2:12" ht="12.6" customHeight="1">
      <c r="B37" s="20" t="s">
        <v>61</v>
      </c>
      <c r="C37" s="27">
        <f>C34*Лаб.Журнал!$E$23*Константы!$B$5/1000</f>
        <v>61.034836144742258</v>
      </c>
      <c r="D37" s="28">
        <f>D34*Лаб.Журнал!$E$23*Константы!$B$5/1000</f>
        <v>60.270423091683284</v>
      </c>
      <c r="E37" s="28">
        <f>E34*Лаб.Журнал!$E$23*Константы!$B$5/1000</f>
        <v>59.594481740884433</v>
      </c>
      <c r="F37" s="28">
        <f>F34*Лаб.Журнал!$E$23*Константы!$B$5/1000</f>
        <v>58.995533245548891</v>
      </c>
      <c r="G37" s="28">
        <f>G34*Лаб.Журнал!$E$23*Константы!$B$5/1000</f>
        <v>58.463901789872743</v>
      </c>
      <c r="H37" s="28">
        <f>H34*Лаб.Журнал!$E$23*Константы!$B$5/1000</f>
        <v>57.99138511398148</v>
      </c>
      <c r="I37" s="28">
        <f>I34*Лаб.Журнал!$E$23*Константы!$B$5/1000</f>
        <v>57.570993198606288</v>
      </c>
      <c r="J37" s="28">
        <f>J34*Лаб.Журнал!$E$23*Константы!$B$5/1000</f>
        <v>57.196739458333255</v>
      </c>
      <c r="K37" s="28">
        <f>K34*Лаб.Журнал!$E$23*Константы!$B$5/1000</f>
        <v>56.86347272232635</v>
      </c>
      <c r="L37" s="29">
        <f>L34*Лаб.Журнал!$E$23*Константы!$B$5/1000</f>
        <v>56.566741144814038</v>
      </c>
    </row>
    <row r="40" spans="2:12" ht="12.6" customHeight="1">
      <c r="K40" t="s">
        <v>73</v>
      </c>
      <c r="L40">
        <f>МНК!B50</f>
        <v>-4.8967488372323564E-2</v>
      </c>
    </row>
    <row r="41" spans="2:12" ht="12.6" customHeight="1">
      <c r="K41" t="s">
        <v>74</v>
      </c>
      <c r="L41">
        <f>МНК!B51</f>
        <v>74.033857190734039</v>
      </c>
    </row>
    <row r="58" spans="2:9" ht="12.6" customHeight="1">
      <c r="B58" s="79" t="s">
        <v>76</v>
      </c>
      <c r="C58" s="87"/>
      <c r="D58" s="87"/>
      <c r="E58" s="87"/>
      <c r="F58" s="87"/>
      <c r="G58" s="87"/>
      <c r="H58" s="89" t="s">
        <v>77</v>
      </c>
      <c r="I58" s="89"/>
    </row>
    <row r="60" spans="2:9" ht="12.6" customHeight="1">
      <c r="B60" s="20" t="s">
        <v>73</v>
      </c>
      <c r="C60" s="35">
        <f>2*L40-L13</f>
        <v>-0.26162454593257012</v>
      </c>
    </row>
    <row r="61" spans="2:9" ht="12.6" customHeight="1">
      <c r="B61" s="20" t="s">
        <v>74</v>
      </c>
      <c r="C61" s="37">
        <f>2*L41-L14</f>
        <v>54.505455433813324</v>
      </c>
    </row>
    <row r="64" spans="2:9" ht="12.6" customHeight="1">
      <c r="B64" s="79" t="s">
        <v>78</v>
      </c>
      <c r="C64" s="87"/>
      <c r="D64" s="87"/>
      <c r="E64" s="87"/>
      <c r="F64" s="87"/>
      <c r="G64" s="87"/>
    </row>
    <row r="66" spans="2:13" ht="12.6" customHeight="1">
      <c r="C66" t="s">
        <v>79</v>
      </c>
      <c r="D66" t="s">
        <v>80</v>
      </c>
      <c r="E66" t="s">
        <v>87</v>
      </c>
    </row>
    <row r="67" spans="2:13" ht="12.6" customHeight="1">
      <c r="B67" s="33" t="s">
        <v>81</v>
      </c>
      <c r="C67" s="21">
        <v>11112</v>
      </c>
      <c r="D67" s="23">
        <v>34192</v>
      </c>
      <c r="E67">
        <f>2*D67-C67</f>
        <v>57272</v>
      </c>
    </row>
    <row r="68" spans="2:13" ht="12.6" customHeight="1">
      <c r="B68" s="20" t="s">
        <v>88</v>
      </c>
      <c r="C68" s="24">
        <v>304.35000000000002</v>
      </c>
      <c r="D68" s="26">
        <v>240.06</v>
      </c>
      <c r="E68">
        <f t="shared" ref="E68:E69" si="2">2*D68-C68</f>
        <v>175.76999999999998</v>
      </c>
    </row>
    <row r="69" spans="2:13" ht="12.6" customHeight="1">
      <c r="B69" s="20" t="s">
        <v>61</v>
      </c>
      <c r="C69" s="27">
        <v>79.16</v>
      </c>
      <c r="D69" s="29">
        <v>37.18</v>
      </c>
      <c r="E69">
        <f t="shared" si="2"/>
        <v>-4.7999999999999972</v>
      </c>
    </row>
    <row r="71" spans="2:13" ht="12.6" customHeight="1">
      <c r="B71" s="79" t="s">
        <v>90</v>
      </c>
      <c r="C71" s="80"/>
      <c r="D71" s="80"/>
      <c r="E71" s="80"/>
      <c r="F71" s="80"/>
      <c r="G71" s="80"/>
      <c r="H71" s="80"/>
      <c r="I71" s="80"/>
    </row>
    <row r="73" spans="2:13" ht="12.6" customHeight="1">
      <c r="C73" s="61" t="s">
        <v>82</v>
      </c>
      <c r="D73">
        <f t="shared" ref="D73:M73" si="3">C36</f>
        <v>273.14999999999998</v>
      </c>
      <c r="E73">
        <f t="shared" si="3"/>
        <v>283.14999999999998</v>
      </c>
      <c r="F73">
        <f t="shared" si="3"/>
        <v>293.14999999999998</v>
      </c>
      <c r="G73">
        <f t="shared" si="3"/>
        <v>303.14999999999998</v>
      </c>
      <c r="H73">
        <f t="shared" si="3"/>
        <v>313.14999999999998</v>
      </c>
      <c r="I73">
        <f t="shared" si="3"/>
        <v>323.14999999999998</v>
      </c>
      <c r="J73">
        <f t="shared" si="3"/>
        <v>333.15</v>
      </c>
      <c r="K73">
        <f t="shared" si="3"/>
        <v>343.15</v>
      </c>
      <c r="L73">
        <f t="shared" si="3"/>
        <v>353.15</v>
      </c>
      <c r="M73">
        <f t="shared" si="3"/>
        <v>363.15</v>
      </c>
    </row>
    <row r="74" spans="2:13" ht="12.6" customHeight="1">
      <c r="B74" t="s">
        <v>84</v>
      </c>
      <c r="C74" s="20" t="s">
        <v>83</v>
      </c>
      <c r="D74">
        <f>(-$E$67/D73+$E$68)/Лаб.Журнал!$E$22</f>
        <v>-4.0775157020980846</v>
      </c>
      <c r="E74">
        <f>(-$E$67/E73+$E$68)/Лаб.Журнал!$E$22</f>
        <v>-3.1868996256421021</v>
      </c>
      <c r="F74">
        <f>(-$E$67/F73+$E$68)/Лаб.Журнал!$E$22</f>
        <v>-2.3570453487055474</v>
      </c>
      <c r="G74">
        <f>(-$E$67/G73+$E$68)/Лаб.Журнал!$E$22</f>
        <v>-1.58193982828798</v>
      </c>
      <c r="H74">
        <f>(-$E$67/H73+$E$68)/Лаб.Журнал!$E$22</f>
        <v>-0.85633809330343358</v>
      </c>
      <c r="I74">
        <f>(-$E$67/I73+$E$68)/Лаб.Журнал!$E$22</f>
        <v>-0.17564440318873534</v>
      </c>
      <c r="J74">
        <f>(-$E$67/J73+$E$68)/Лаб.Журнал!$E$22</f>
        <v>0.46418519026591665</v>
      </c>
      <c r="K74">
        <f>(-$E$67/K73+$E$68)/Лаб.Журнал!$E$22</f>
        <v>1.0667232439592604</v>
      </c>
      <c r="L74">
        <f>(-$E$67/L73+$E$68)/Лаб.Журнал!$E$22</f>
        <v>1.6351376644263083</v>
      </c>
      <c r="M74">
        <f>(-$E$67/M73+$E$68)/Лаб.Журнал!$E$22</f>
        <v>2.1722474217807552</v>
      </c>
    </row>
    <row r="75" spans="2:13" ht="12.6" customHeight="1">
      <c r="B75" t="s">
        <v>85</v>
      </c>
      <c r="C75" s="20" t="s">
        <v>83</v>
      </c>
      <c r="D75">
        <f>D74-$E$69*(1-Константы!$B$15/D73)/Лаб.Журнал!$E$22+'Обратная задача'!$E$69*LN('Обратная задача'!D73/Константы!$B$15)/Лаб.Журнал!$E$22</f>
        <v>-4.0797955947155931</v>
      </c>
      <c r="E75">
        <f>E74-$E$69*(1-Константы!$B$15/E73)/Лаб.Журнал!$E$22+'Обратная задача'!$E$69*LN('Обратная задача'!E73/Константы!$B$15)/Лаб.Журнал!$E$22</f>
        <v>-3.1876821842381009</v>
      </c>
      <c r="F75">
        <f>F74-$E$69*(1-Константы!$B$15/F73)/Лаб.Журнал!$E$22+'Обратная задача'!$E$69*LN('Обратная задача'!F73/Константы!$B$15)/Лаб.Журнал!$E$22</f>
        <v>-2.35712837848732</v>
      </c>
      <c r="G75">
        <f>G74-$E$69*(1-Константы!$B$15/G73)/Лаб.Журнал!$E$22+'Обратная задача'!$E$69*LN('Обратная задача'!G73/Константы!$B$15)/Лаб.Журнал!$E$22</f>
        <v>-1.5820192264691124</v>
      </c>
      <c r="H75">
        <f>H74-$E$69*(1-Константы!$B$15/H73)/Лаб.Журнал!$E$22+'Обратная задача'!$E$69*LN('Обратная задача'!H73/Константы!$B$15)/Лаб.Журнал!$E$22</f>
        <v>-0.85702233324175303</v>
      </c>
      <c r="I75">
        <f>I74-$E$69*(1-Константы!$B$15/I73)/Лаб.Журнал!$E$22+'Обратная задача'!$E$69*LN('Обратная задача'!I73/Константы!$B$15)/Лаб.Журнал!$E$22</f>
        <v>-0.17746664115116234</v>
      </c>
      <c r="J75">
        <f>J74-$E$69*(1-Константы!$B$15/J73)/Лаб.Журнал!$E$22+'Обратная задача'!$E$69*LN('Обратная задача'!J73/Константы!$B$15)/Лаб.Журнал!$E$22</f>
        <v>0.46075694117152327</v>
      </c>
      <c r="K75">
        <f>K74-$E$69*(1-Константы!$B$15/K73)/Лаб.Журнал!$E$22+'Обратная задача'!$E$69*LN('Обратная задача'!K73/Константы!$B$15)/Лаб.Журнал!$E$22</f>
        <v>1.0612775212166672</v>
      </c>
      <c r="L75">
        <f>L74-$E$69*(1-Константы!$B$15/L73)/Лаб.Журнал!$E$22+'Обратная задача'!$E$69*LN('Обратная задача'!L73/Константы!$B$15)/Лаб.Журнал!$E$22</f>
        <v>1.6273122650207572</v>
      </c>
      <c r="M75">
        <f>M74-$E$69*(1-Константы!$B$15/M73)/Лаб.Журнал!$E$22+'Обратная задача'!$E$69*LN('Обратная задача'!M73/Константы!$B$15)/Лаб.Журнал!$E$22</f>
        <v>2.1617231881947516</v>
      </c>
    </row>
    <row r="76" spans="2:13" ht="12.6" customHeight="1">
      <c r="B76" t="s">
        <v>86</v>
      </c>
      <c r="C76" s="20" t="s">
        <v>83</v>
      </c>
      <c r="D76">
        <f>D74-$C$61*(1-Константы!$B$15/'Обратная задача'!D73)/Лаб.Журнал!$E$22-$C$61*LN(D73/Константы!$B$15)/Лаб.Журнал!$E$22/'Обратная задача'!D73+$C$60*(D73)/2/Лаб.Журнал!$E$22-$C$60*Константы!$B$15*(1-Константы!$B$15/2/'Обратная задача'!D73)/Лаб.Журнал!$E$22</f>
        <v>-3.5114221628918747</v>
      </c>
      <c r="E76">
        <f>E74-$C$61*(1-Константы!$B$15/'Обратная задача'!E73)/Лаб.Журнал!$E$22-$C$61*LN(E73/Константы!$B$15)/Лаб.Журнал!$E$22/'Обратная задача'!E73+$C$60*(E73)/2/Лаб.Журнал!$E$22-$C$60*Константы!$B$15*(1-Константы!$B$15/2/'Обратная задача'!E73)/Лаб.Журнал!$E$22</f>
        <v>-2.850925869261367</v>
      </c>
      <c r="F76">
        <f>F74-$C$61*(1-Константы!$B$15/'Обратная задача'!F73)/Лаб.Журнал!$E$22-$C$61*LN(F73/Константы!$B$15)/Лаб.Журнал!$E$22/'Обратная задача'!F73+$C$60*(F73)/2/Лаб.Журнал!$E$22-$C$60*Константы!$B$15*(1-Константы!$B$15/2/'Обратная задача'!F73)/Лаб.Журнал!$E$22</f>
        <v>-2.2461974937164682</v>
      </c>
      <c r="G76">
        <f>G74-$C$61*(1-Константы!$B$15/'Обратная задача'!G73)/Лаб.Журнал!$E$22-$C$61*LN(G73/Константы!$B$15)/Лаб.Журнал!$E$22/'Обратная задача'!G73+$C$60*(G73)/2/Лаб.Журнал!$E$22-$C$60*Константы!$B$15*(1-Константы!$B$15/2/'Обратная задача'!G73)/Лаб.Журнал!$E$22</f>
        <v>-1.6917200032660089</v>
      </c>
      <c r="H76">
        <f>H74-$C$61*(1-Константы!$B$15/'Обратная задача'!H73)/Лаб.Журнал!$E$22-$C$61*LN(H73/Константы!$B$15)/Лаб.Журнал!$E$22/'Обратная задача'!H73+$C$60*(H73)/2/Лаб.Журнал!$E$22-$C$60*Константы!$B$15*(1-Константы!$B$15/2/'Обратная задача'!H73)/Лаб.Журнал!$E$22</f>
        <v>-1.1826809085967378</v>
      </c>
      <c r="I76">
        <f>I74-$C$61*(1-Константы!$B$15/'Обратная задача'!I73)/Лаб.Журнал!$E$22-$C$61*LN(I73/Константы!$B$15)/Лаб.Журнал!$E$22/'Обратная задача'!I73+$C$60*(I73)/2/Лаб.Журнал!$E$22-$C$60*Константы!$B$15*(1-Константы!$B$15/2/'Обратная задача'!I73)/Лаб.Журнал!$E$22</f>
        <v>-0.7148632730205513</v>
      </c>
      <c r="J76">
        <f>J74-$C$61*(1-Константы!$B$15/'Обратная задача'!J73)/Лаб.Журнал!$E$22-$C$61*LN(J73/Константы!$B$15)/Лаб.Журнал!$E$22/'Обратная задача'!J73+$C$60*(J73)/2/Лаб.Журнал!$E$22-$C$60*Константы!$B$15*(1-Константы!$B$15/2/'Обратная задача'!J73)/Лаб.Журнал!$E$22</f>
        <v>-0.28455634752984427</v>
      </c>
      <c r="K76">
        <f>K74-$C$61*(1-Константы!$B$15/'Обратная задача'!K73)/Лаб.Журнал!$E$22-$C$61*LN(K73/Константы!$B$15)/Лаб.Журнал!$E$22/'Обратная задача'!K73+$C$60*(K73)/2/Лаб.Журнал!$E$22-$C$60*Константы!$B$15*(1-Константы!$B$15/2/'Обратная задача'!K73)/Лаб.Журнал!$E$22</f>
        <v>0.11151817108585149</v>
      </c>
      <c r="L76">
        <f>L74-$C$61*(1-Константы!$B$15/'Обратная задача'!L73)/Лаб.Журнал!$E$22-$C$61*LN(L73/Константы!$B$15)/Лаб.Журнал!$E$22/'Обратная задача'!L73+$C$60*(L73)/2/Лаб.Журнал!$E$22-$C$60*Константы!$B$15*(1-Константы!$B$15/2/'Обратная задача'!L73)/Лаб.Журнал!$E$22</f>
        <v>0.47626735539188747</v>
      </c>
      <c r="M76">
        <f>M74-$C$61*(1-Константы!$B$15/'Обратная задача'!M73)/Лаб.Журнал!$E$22-$C$61*LN(M73/Константы!$B$15)/Лаб.Журнал!$E$22/'Обратная задача'!M73+$C$60*(M73)/2/Лаб.Журнал!$E$22-$C$60*Константы!$B$15*(1-Константы!$B$15/2/'Обратная задача'!M73)/Лаб.Журнал!$E$22</f>
        <v>0.81227815003239101</v>
      </c>
    </row>
    <row r="77" spans="2:13" ht="12.6" customHeight="1">
      <c r="B77" t="s">
        <v>91</v>
      </c>
      <c r="C77" s="20" t="s">
        <v>83</v>
      </c>
      <c r="D77">
        <f>D74+((Константы!$C$13/Константы!$B$15/Константы!$B$15/'Обратная задача'!D73+(Константы!$C$12-'Обратная задача'!$L$13/2))*((D73-Константы!$B$15)^2)/'Обратная задача'!$D$73-(2*Константы!$C$11-'Обратная задача'!$L$14)*(1-Константы!$B$15/'Обратная задача'!D73-LN('Обратная задача'!D73/Константы!$B$15)))/Лаб.Журнал!$E$22</f>
        <v>-4.1441841165372733</v>
      </c>
      <c r="E77">
        <f>E74+((Константы!$C$13/Константы!$B$15/Константы!$B$15/'Обратная задача'!E73+(Константы!$C$12-'Обратная задача'!$L$13/2))*((E73-Константы!$B$15)^2)/'Обратная задача'!$D$73-(2*Константы!$C$11-'Обратная задача'!$L$14)*(1-Константы!$B$15/'Обратная задача'!E73-LN('Обратная задача'!E73/Константы!$B$15)))/Лаб.Журнал!$E$22</f>
        <v>-3.21016004509928</v>
      </c>
      <c r="F77">
        <f>F74+((Константы!$C$13/Константы!$B$15/Константы!$B$15/'Обратная задача'!F73+(Константы!$C$12-'Обратная задача'!$L$13/2))*((F73-Константы!$B$15)^2)/'Обратная задача'!$D$73-(2*Константы!$C$11-'Обратная задача'!$L$14)*(1-Константы!$B$15/'Обратная задача'!F73-LN('Обратная задача'!F73/Константы!$B$15)))/Лаб.Журнал!$E$22</f>
        <v>-2.3595538644158331</v>
      </c>
      <c r="G77">
        <f>G74+((Константы!$C$13/Константы!$B$15/Константы!$B$15/'Обратная задача'!G73+(Константы!$C$12-'Обратная задача'!$L$13/2))*((G73-Константы!$B$15)^2)/'Обратная задача'!$D$73-(2*Константы!$C$11-'Обратная задача'!$L$14)*(1-Константы!$B$15/'Обратная задача'!G73-LN('Обратная задача'!G73/Константы!$B$15)))/Лаб.Журнал!$E$22</f>
        <v>-1.5843779798981257</v>
      </c>
      <c r="H77">
        <f>H74+((Константы!$C$13/Константы!$B$15/Константы!$B$15/'Обратная задача'!H73+(Константы!$C$12-'Обратная задача'!$L$13/2))*((H73-Константы!$B$15)^2)/'Обратная задача'!$D$73-(2*Константы!$C$11-'Обратная задача'!$L$14)*(1-Константы!$B$15/'Обратная задача'!H73-LN('Обратная задача'!H73/Константы!$B$15)))/Лаб.Журнал!$E$22</f>
        <v>-0.87769353818076412</v>
      </c>
      <c r="I77">
        <f>I74+((Константы!$C$13/Константы!$B$15/Константы!$B$15/'Обратная задача'!I73+(Константы!$C$12-'Обратная задача'!$L$13/2))*((I73-Константы!$B$15)^2)/'Обратная задача'!$D$73-(2*Константы!$C$11-'Обратная задача'!$L$14)*(1-Константы!$B$15/'Обратная задача'!I73-LN('Обратная задача'!I73/Константы!$B$15)))/Лаб.Журнал!$E$22</f>
        <v>-0.23344551543455661</v>
      </c>
      <c r="J77">
        <f>J74+((Константы!$C$13/Константы!$B$15/Константы!$B$15/'Обратная задача'!J73+(Константы!$C$12-'Обратная задача'!$L$13/2))*((J73-Константы!$B$15)^2)/'Обратная задача'!$D$73-(2*Константы!$C$11-'Обратная задача'!$L$14)*(1-Константы!$B$15/'Обратная задача'!J73-LN('Обратная задача'!J73/Константы!$B$15)))/Лаб.Журнал!$E$22</f>
        <v>0.35367217625220404</v>
      </c>
      <c r="K77">
        <f>K74+((Константы!$C$13/Константы!$B$15/Константы!$B$15/'Обратная задача'!K73+(Константы!$C$12-'Обратная задача'!$L$13/2))*((K73-Константы!$B$15)^2)/'Обратная задача'!$D$73-(2*Константы!$C$11-'Обратная задача'!$L$14)*(1-Константы!$B$15/'Обратная задача'!K73-LN('Обратная задача'!K73/Константы!$B$15)))/Лаб.Журнал!$E$22</f>
        <v>0.88832773420913169</v>
      </c>
      <c r="L77">
        <f>L74+((Константы!$C$13/Константы!$B$15/Константы!$B$15/'Обратная задача'!L73+(Константы!$C$12-'Обратная задача'!$L$13/2))*((L73-Константы!$B$15)^2)/'Обратная задача'!$D$73-(2*Константы!$C$11-'Обратная задача'!$L$14)*(1-Константы!$B$15/'Обратная задача'!L73-LN('Обратная задача'!L73/Константы!$B$15)))/Лаб.Журнал!$E$22</f>
        <v>1.3746434264839795</v>
      </c>
      <c r="M77">
        <f>M74+((Константы!$C$13/Константы!$B$15/Константы!$B$15/'Обратная задача'!M73+(Константы!$C$12-'Обратная задача'!$L$13/2))*((M73-Константы!$B$15)^2)/'Обратная задача'!$D$73-(2*Константы!$C$11-'Обратная задача'!$L$14)*(1-Константы!$B$15/'Обратная задача'!M73-LN('Обратная задача'!M73/Константы!$B$15)))/Лаб.Журнал!$E$22</f>
        <v>1.8162721776755375</v>
      </c>
    </row>
    <row r="132" spans="2:12" ht="12.6" customHeight="1">
      <c r="B132" s="79" t="s">
        <v>104</v>
      </c>
      <c r="C132" s="80"/>
      <c r="D132" s="80"/>
      <c r="E132" s="80"/>
      <c r="F132" s="80"/>
      <c r="G132" s="80"/>
      <c r="H132" s="80"/>
    </row>
    <row r="134" spans="2:12" ht="12.6" customHeight="1">
      <c r="B134" s="20" t="s">
        <v>33</v>
      </c>
      <c r="C134">
        <f t="shared" ref="C134:L134" si="4">C36</f>
        <v>273.14999999999998</v>
      </c>
      <c r="D134">
        <f t="shared" si="4"/>
        <v>283.14999999999998</v>
      </c>
      <c r="E134">
        <f t="shared" si="4"/>
        <v>293.14999999999998</v>
      </c>
      <c r="F134">
        <f t="shared" si="4"/>
        <v>303.14999999999998</v>
      </c>
      <c r="G134">
        <f t="shared" si="4"/>
        <v>313.14999999999998</v>
      </c>
      <c r="H134">
        <f t="shared" si="4"/>
        <v>323.14999999999998</v>
      </c>
      <c r="I134">
        <f t="shared" si="4"/>
        <v>333.15</v>
      </c>
      <c r="J134">
        <f t="shared" si="4"/>
        <v>343.15</v>
      </c>
      <c r="K134">
        <f t="shared" si="4"/>
        <v>353.15</v>
      </c>
      <c r="L134">
        <f t="shared" si="4"/>
        <v>363.15</v>
      </c>
    </row>
    <row r="135" spans="2:12" ht="12.6" customHeight="1">
      <c r="B135" s="18" t="s">
        <v>92</v>
      </c>
      <c r="C135" s="90">
        <f>EXP(D77)/C134/Лаб.Журнал!$E$22</f>
        <v>6.98181686622265E-6</v>
      </c>
      <c r="D135" s="90">
        <f>EXP(E77)/D134/Лаб.Журнал!$E$22</f>
        <v>1.7139359652543874E-5</v>
      </c>
      <c r="E135" s="90">
        <f>EXP(F77)/E134/Лаб.Журнал!$E$22</f>
        <v>3.8755632593069884E-5</v>
      </c>
      <c r="F135" s="90">
        <f>EXP(G77)/F134/Лаб.Журнал!$E$22</f>
        <v>8.1362028016547657E-5</v>
      </c>
      <c r="G135" s="90">
        <f>EXP(H77)/G134/Лаб.Журнал!$E$22</f>
        <v>1.5967468762854176E-4</v>
      </c>
      <c r="H135" s="90">
        <f>EXP(I77)/H134/Лаб.Журнал!$E$22</f>
        <v>2.9469834185020573E-4</v>
      </c>
      <c r="I135" s="90">
        <f>EXP(J77)/I134/Лаб.Журнал!$E$22</f>
        <v>5.1419045279040606E-4</v>
      </c>
      <c r="J135" s="90">
        <f>EXP(K77)/J134/Лаб.Журнал!$E$22</f>
        <v>8.5207491822891941E-4</v>
      </c>
      <c r="K135" s="90">
        <f>EXP(L77)/K134/Лаб.Журнал!$E$22</f>
        <v>1.3465013581882795E-3</v>
      </c>
      <c r="L135" s="90">
        <f>EXP(M77)/L134/Лаб.Журнал!$E$22</f>
        <v>2.0364647053933761E-3</v>
      </c>
    </row>
    <row r="136" spans="2:12" ht="12.6" customHeight="1">
      <c r="C136">
        <f>LN(C135)</f>
        <v>-11.872201379040687</v>
      </c>
      <c r="D136">
        <f t="shared" ref="D136:L136" si="5">LN(D135)</f>
        <v>-10.974133005320782</v>
      </c>
      <c r="E136">
        <f t="shared" si="5"/>
        <v>-10.158234455487746</v>
      </c>
      <c r="F136">
        <f t="shared" si="5"/>
        <v>-9.4166018800775539</v>
      </c>
      <c r="G136">
        <f t="shared" si="5"/>
        <v>-8.7423720148138742</v>
      </c>
      <c r="H136">
        <f t="shared" si="5"/>
        <v>-8.1295582948051486</v>
      </c>
      <c r="I136">
        <f t="shared" si="5"/>
        <v>-7.5729168304180297</v>
      </c>
      <c r="J136">
        <f t="shared" si="5"/>
        <v>-7.0678361028071999</v>
      </c>
      <c r="K136">
        <f t="shared" si="5"/>
        <v>-6.610245637032639</v>
      </c>
      <c r="L136">
        <f t="shared" si="5"/>
        <v>-6.1965399620383277</v>
      </c>
    </row>
    <row r="162" spans="2:8" ht="12.6" customHeight="1">
      <c r="B162" s="79" t="s">
        <v>106</v>
      </c>
      <c r="C162" s="87"/>
      <c r="D162" s="87"/>
      <c r="E162" s="87"/>
      <c r="F162" s="87"/>
    </row>
    <row r="164" spans="2:8" ht="12.6" customHeight="1">
      <c r="B164" s="13" t="s">
        <v>103</v>
      </c>
      <c r="C164" s="13" t="s">
        <v>100</v>
      </c>
      <c r="D164" s="13" t="s">
        <v>95</v>
      </c>
      <c r="E164" s="13" t="s">
        <v>96</v>
      </c>
      <c r="F164" s="13" t="s">
        <v>97</v>
      </c>
      <c r="G164" s="13" t="s">
        <v>98</v>
      </c>
      <c r="H164" s="13" t="s">
        <v>99</v>
      </c>
    </row>
    <row r="165" spans="2:8" ht="12.6" customHeight="1">
      <c r="B165" s="18" t="s">
        <v>93</v>
      </c>
      <c r="C165" s="67">
        <f t="shared" ref="C165:H165" si="6">$E$135</f>
        <v>3.8755632593069884E-5</v>
      </c>
      <c r="D165" s="64">
        <f>$E$135</f>
        <v>3.8755632593069884E-5</v>
      </c>
      <c r="E165" s="65">
        <f t="shared" si="6"/>
        <v>3.8755632593069884E-5</v>
      </c>
      <c r="F165" s="65">
        <f t="shared" si="6"/>
        <v>3.8755632593069884E-5</v>
      </c>
      <c r="G165" s="65">
        <f t="shared" si="6"/>
        <v>3.8755632593069884E-5</v>
      </c>
      <c r="H165" s="66">
        <f t="shared" si="6"/>
        <v>3.8755632593069884E-5</v>
      </c>
    </row>
    <row r="166" spans="2:8" ht="12.6" customHeight="1">
      <c r="B166" s="18" t="s">
        <v>102</v>
      </c>
      <c r="C166" s="70">
        <v>382</v>
      </c>
      <c r="D166" s="68">
        <v>13.3</v>
      </c>
      <c r="E166" s="14">
        <v>8</v>
      </c>
      <c r="F166" s="14">
        <v>5.5</v>
      </c>
      <c r="G166" s="14">
        <v>4.8</v>
      </c>
      <c r="H166" s="69">
        <v>2.2000000000000002</v>
      </c>
    </row>
    <row r="167" spans="2:8" ht="12.6" customHeight="1">
      <c r="B167" s="18" t="s">
        <v>101</v>
      </c>
      <c r="C167" s="70">
        <f>C166</f>
        <v>382</v>
      </c>
      <c r="D167" s="68">
        <f>D166</f>
        <v>13.3</v>
      </c>
      <c r="E167" s="14">
        <f t="shared" ref="E167:H167" si="7">E166</f>
        <v>8</v>
      </c>
      <c r="F167" s="14">
        <f t="shared" si="7"/>
        <v>5.5</v>
      </c>
      <c r="G167" s="14">
        <f t="shared" si="7"/>
        <v>4.8</v>
      </c>
      <c r="H167" s="69">
        <f t="shared" si="7"/>
        <v>2.2000000000000002</v>
      </c>
    </row>
    <row r="168" spans="2:8" ht="12.6" customHeight="1">
      <c r="B168" s="18" t="s">
        <v>94</v>
      </c>
      <c r="C168" s="74">
        <f t="shared" ref="C168:H168" si="8">C165*C167*C167/C166</f>
        <v>1.4804651650552695E-2</v>
      </c>
      <c r="D168" s="71">
        <f t="shared" si="8"/>
        <v>5.1544991348782951E-4</v>
      </c>
      <c r="E168" s="72">
        <f t="shared" si="8"/>
        <v>3.1004506074455907E-4</v>
      </c>
      <c r="F168" s="72">
        <f t="shared" si="8"/>
        <v>2.1315597926188437E-4</v>
      </c>
      <c r="G168" s="72">
        <f t="shared" si="8"/>
        <v>1.8602703644673543E-4</v>
      </c>
      <c r="H168" s="73">
        <f t="shared" si="8"/>
        <v>8.5262391704753754E-5</v>
      </c>
    </row>
  </sheetData>
  <mergeCells count="10">
    <mergeCell ref="B2:G2"/>
    <mergeCell ref="H2:K2"/>
    <mergeCell ref="B31:G31"/>
    <mergeCell ref="H31:K31"/>
    <mergeCell ref="B132:H132"/>
    <mergeCell ref="B162:F162"/>
    <mergeCell ref="B58:G58"/>
    <mergeCell ref="H58:I58"/>
    <mergeCell ref="B64:G64"/>
    <mergeCell ref="B71:I71"/>
  </mergeCells>
  <hyperlinks>
    <hyperlink ref="N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B6" sqref="B6"/>
    </sheetView>
  </sheetViews>
  <sheetFormatPr defaultRowHeight="14.4"/>
  <cols>
    <col min="1" max="1" width="8.88671875" style="53"/>
    <col min="3" max="3" width="10" bestFit="1" customWidth="1"/>
  </cols>
  <sheetData>
    <row r="2" spans="2:6">
      <c r="B2" s="87" t="s">
        <v>58</v>
      </c>
      <c r="C2" s="87"/>
      <c r="D2" s="87"/>
      <c r="E2" s="87"/>
      <c r="F2" s="87"/>
    </row>
    <row r="4" spans="2:6">
      <c r="B4">
        <v>418.7</v>
      </c>
      <c r="C4" s="89" t="str">
        <f>CONCATENATE("кал/(см·с·К) = ",B4," Вт/(м·К)")</f>
        <v>кал/(см·с·К) = 418,7 Вт/(м·К)</v>
      </c>
      <c r="D4" s="89"/>
      <c r="E4" s="89"/>
      <c r="F4" s="89"/>
    </row>
    <row r="5" spans="2:6">
      <c r="B5" s="56">
        <v>4186.8</v>
      </c>
      <c r="C5" s="89" t="str">
        <f>CONCATENATE("кал/(г·К) = ",B5," Дж/(кг·К)")</f>
        <v>кал/(г·К) = 4186,8 Дж/(кг·К)</v>
      </c>
      <c r="D5" s="89"/>
      <c r="E5" s="89"/>
      <c r="F5" s="89"/>
    </row>
    <row r="6" spans="2:6">
      <c r="B6" s="56">
        <v>133.322</v>
      </c>
      <c r="C6" s="89" t="str">
        <f>CONCATENATE("мм рт. ст. = ",B6," Па")</f>
        <v>мм рт. ст. = 133,322 Па</v>
      </c>
      <c r="D6" s="89"/>
      <c r="E6" s="89"/>
      <c r="F6" s="89"/>
    </row>
    <row r="9" spans="2:6">
      <c r="B9" s="87" t="s">
        <v>65</v>
      </c>
      <c r="C9" s="87"/>
      <c r="D9" s="87"/>
      <c r="E9" s="87"/>
      <c r="F9" s="87"/>
    </row>
    <row r="11" spans="2:6">
      <c r="B11" t="s">
        <v>8</v>
      </c>
      <c r="C11">
        <v>0.23469999999999999</v>
      </c>
    </row>
    <row r="12" spans="2:6">
      <c r="B12" t="s">
        <v>66</v>
      </c>
      <c r="C12">
        <f>5.98/100000</f>
        <v>5.9800000000000003E-5</v>
      </c>
    </row>
    <row r="13" spans="2:6">
      <c r="B13" t="s">
        <v>67</v>
      </c>
      <c r="C13">
        <f>4.91*10^3</f>
        <v>4910</v>
      </c>
    </row>
    <row r="15" spans="2:6">
      <c r="B15">
        <v>298.14999999999998</v>
      </c>
      <c r="C15" t="s">
        <v>89</v>
      </c>
    </row>
  </sheetData>
  <mergeCells count="5">
    <mergeCell ref="B2:F2"/>
    <mergeCell ref="C4:F4"/>
    <mergeCell ref="C5:F5"/>
    <mergeCell ref="C6:F6"/>
    <mergeCell ref="B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E13"/>
  <sheetViews>
    <sheetView workbookViewId="0">
      <selection activeCell="C12" sqref="C12"/>
    </sheetView>
  </sheetViews>
  <sheetFormatPr defaultRowHeight="14.4"/>
  <cols>
    <col min="1" max="1" width="8.88671875" style="53"/>
  </cols>
  <sheetData>
    <row r="2" spans="2:5">
      <c r="B2" s="87" t="s">
        <v>107</v>
      </c>
      <c r="C2" s="87"/>
      <c r="D2" s="87"/>
      <c r="E2" s="87"/>
    </row>
    <row r="4" spans="2:5">
      <c r="B4" s="38" t="s">
        <v>108</v>
      </c>
      <c r="C4">
        <f>МНК!F9</f>
        <v>-8.4795858677796954</v>
      </c>
    </row>
    <row r="5" spans="2:5">
      <c r="B5" s="38" t="s">
        <v>109</v>
      </c>
      <c r="C5">
        <f>МНК!F10</f>
        <v>0.3101554613150867</v>
      </c>
    </row>
    <row r="7" spans="2:5">
      <c r="B7" s="87" t="s">
        <v>110</v>
      </c>
      <c r="C7" s="87"/>
      <c r="D7" s="87"/>
      <c r="E7" s="87"/>
    </row>
    <row r="9" spans="2:5">
      <c r="B9" s="20" t="str">
        <f>Лаб.Журнал!B22</f>
        <v>ΔD</v>
      </c>
      <c r="C9">
        <f>Лаб.Журнал!C22/AVERAGE(Лаб.Журнал!C7:J9)</f>
        <v>0.55796512374721041</v>
      </c>
      <c r="D9" s="76" t="s">
        <v>111</v>
      </c>
      <c r="E9">
        <f>C9/1.73</f>
        <v>0.32252319291746268</v>
      </c>
    </row>
    <row r="10" spans="2:5">
      <c r="B10" s="20" t="str">
        <f>Лаб.Журнал!B23</f>
        <v xml:space="preserve">Δλ, </v>
      </c>
      <c r="C10">
        <f>Лаб.Журнал!C23/AVERAGE(Лаб.Журнал!G4,Лаб.Журнал!G11)</f>
        <v>1.9417475728155341E-4</v>
      </c>
      <c r="D10" s="76" t="s">
        <v>112</v>
      </c>
      <c r="E10">
        <f>E9*E9+C12*C12+C14*C14</f>
        <v>0.10587911722294475</v>
      </c>
    </row>
    <row r="11" spans="2:5">
      <c r="B11" s="20" t="str">
        <f>Лаб.Журнал!B24</f>
        <v>Δt, °C</v>
      </c>
      <c r="C11">
        <f>Лаб.Журнал!C24/AVERAGE(Лаб.Журнал!C6:J6)</f>
        <v>2.1074815595363539E-3</v>
      </c>
      <c r="D11" s="76" t="s">
        <v>113</v>
      </c>
      <c r="E11">
        <f>E10+C13*C13</f>
        <v>0.10617638238346794</v>
      </c>
    </row>
    <row r="12" spans="2:5">
      <c r="B12" s="20" t="str">
        <f>Лаб.Журнал!B25</f>
        <v>Δελ, л/(моль*см)</v>
      </c>
      <c r="C12">
        <f>Лаб.Журнал!C25/Лаб.Журнал!C20</f>
        <v>4.3103448275862072E-2</v>
      </c>
      <c r="D12" s="76" t="s">
        <v>114</v>
      </c>
      <c r="E12">
        <f>C11*C11+C13*C13</f>
        <v>3.0170663904697262E-4</v>
      </c>
    </row>
    <row r="13" spans="2:5">
      <c r="B13" s="20" t="str">
        <f>Лаб.Журнал!D21</f>
        <v>ΔС0, моль/л</v>
      </c>
      <c r="C13">
        <f>Лаб.Журнал!E21/Лаб.Журнал!E20</f>
        <v>1.7241379310344831E-2</v>
      </c>
      <c r="D13" s="76" t="s">
        <v>115</v>
      </c>
      <c r="E13">
        <f>4*E10+5*C13*C13+C11*C11</f>
        <v>0.42500723617291875</v>
      </c>
    </row>
  </sheetData>
  <mergeCells count="2">
    <mergeCell ref="B2:E2"/>
    <mergeCell ref="B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</vt:lpstr>
      <vt:lpstr>МНК</vt:lpstr>
      <vt:lpstr>Лаб.Журнал</vt:lpstr>
      <vt:lpstr>Обратная задача</vt:lpstr>
      <vt:lpstr>Константы</vt:lpstr>
      <vt:lpstr>погрешности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Константинов</dc:creator>
  <cp:lastModifiedBy>Даниил Константинов</cp:lastModifiedBy>
  <dcterms:created xsi:type="dcterms:W3CDTF">2013-11-09T19:11:18Z</dcterms:created>
  <dcterms:modified xsi:type="dcterms:W3CDTF">2015-05-07T03:40:23Z</dcterms:modified>
</cp:coreProperties>
</file>