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11" documentId="11_AD4DC2C4214B839BC62F9CFC9E4E334E6AE8DE20" xr6:coauthVersionLast="36" xr6:coauthVersionMax="36" xr10:uidLastSave="{0534021E-8C8B-4922-807E-A99B895FEB19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T17" i="1"/>
  <c r="W16" i="1"/>
  <c r="T16" i="1"/>
  <c r="W12" i="1"/>
  <c r="W8" i="1"/>
  <c r="W4" i="1"/>
  <c r="T12" i="1"/>
  <c r="T8" i="1"/>
  <c r="T4" i="1"/>
  <c r="V8" i="1"/>
  <c r="V12" i="1"/>
  <c r="V4" i="1"/>
  <c r="S4" i="1"/>
  <c r="N15" i="1" l="1"/>
  <c r="L15" i="1"/>
  <c r="M15" i="1" s="1"/>
  <c r="O15" i="1" s="1"/>
  <c r="K15" i="1"/>
  <c r="N14" i="1"/>
  <c r="L14" i="1"/>
  <c r="M14" i="1" s="1"/>
  <c r="O14" i="1" s="1"/>
  <c r="K14" i="1"/>
  <c r="N13" i="1"/>
  <c r="L13" i="1"/>
  <c r="M13" i="1" s="1"/>
  <c r="O13" i="1" s="1"/>
  <c r="K13" i="1"/>
  <c r="P12" i="1" s="1"/>
  <c r="Q12" i="1" s="1"/>
  <c r="N12" i="1"/>
  <c r="L12" i="1"/>
  <c r="M12" i="1" s="1"/>
  <c r="O12" i="1" s="1"/>
  <c r="K12" i="1"/>
  <c r="N11" i="1"/>
  <c r="L11" i="1"/>
  <c r="M11" i="1" s="1"/>
  <c r="O11" i="1" s="1"/>
  <c r="K11" i="1"/>
  <c r="N10" i="1"/>
  <c r="L10" i="1"/>
  <c r="M10" i="1" s="1"/>
  <c r="O10" i="1" s="1"/>
  <c r="K10" i="1"/>
  <c r="N9" i="1"/>
  <c r="L9" i="1"/>
  <c r="M9" i="1" s="1"/>
  <c r="O9" i="1" s="1"/>
  <c r="K9" i="1"/>
  <c r="P8" i="1" s="1"/>
  <c r="Q8" i="1" s="1"/>
  <c r="N8" i="1"/>
  <c r="L8" i="1"/>
  <c r="M8" i="1" s="1"/>
  <c r="O8" i="1" s="1"/>
  <c r="K8" i="1"/>
  <c r="U4" i="1"/>
  <c r="R4" i="1"/>
  <c r="Q4" i="1"/>
  <c r="P4" i="1"/>
  <c r="O5" i="1"/>
  <c r="O6" i="1"/>
  <c r="O7" i="1"/>
  <c r="O4" i="1"/>
  <c r="N7" i="1"/>
  <c r="N6" i="1"/>
  <c r="N5" i="1"/>
  <c r="N4" i="1"/>
  <c r="M5" i="1"/>
  <c r="M6" i="1"/>
  <c r="M7" i="1"/>
  <c r="M4" i="1"/>
  <c r="L5" i="1"/>
  <c r="L6" i="1"/>
  <c r="L7" i="1"/>
  <c r="L4" i="1"/>
  <c r="K5" i="1"/>
  <c r="K6" i="1"/>
  <c r="K7" i="1"/>
  <c r="K4" i="1"/>
  <c r="U12" i="1" l="1"/>
  <c r="R12" i="1"/>
  <c r="S12" i="1" s="1"/>
  <c r="U8" i="1"/>
  <c r="R8" i="1"/>
  <c r="S8" i="1" s="1"/>
</calcChain>
</file>

<file path=xl/sharedStrings.xml><?xml version="1.0" encoding="utf-8"?>
<sst xmlns="http://schemas.openxmlformats.org/spreadsheetml/2006/main" count="35" uniqueCount="27">
  <si>
    <t>油滴序号</t>
    <phoneticPr fontId="1" type="noConversion"/>
  </si>
  <si>
    <t>第1滴</t>
    <phoneticPr fontId="1" type="noConversion"/>
  </si>
  <si>
    <t>测量次数</t>
    <phoneticPr fontId="1" type="noConversion"/>
  </si>
  <si>
    <t>密立根油滴实验数据记录表</t>
    <phoneticPr fontId="1" type="noConversion"/>
  </si>
  <si>
    <t>物理量</t>
    <phoneticPr fontId="1" type="noConversion"/>
  </si>
  <si>
    <t>平均值</t>
    <phoneticPr fontId="1" type="noConversion"/>
  </si>
  <si>
    <r>
      <t>平衡电压U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</si>
  <si>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上升电压U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/V</t>
    </r>
    <phoneticPr fontId="1" type="noConversion"/>
  </si>
  <si>
    <t>标准差</t>
    <phoneticPr fontId="1" type="noConversion"/>
  </si>
  <si>
    <r>
      <t>A类不确定度U</t>
    </r>
    <r>
      <rPr>
        <vertAlign val="subscript"/>
        <sz val="11"/>
        <color theme="1"/>
        <rFont val="等线"/>
        <family val="3"/>
        <charset val="134"/>
        <scheme val="minor"/>
      </rPr>
      <t>A</t>
    </r>
    <phoneticPr fontId="1" type="noConversion"/>
  </si>
  <si>
    <r>
      <t>B类不确定度U</t>
    </r>
    <r>
      <rPr>
        <vertAlign val="subscript"/>
        <sz val="11"/>
        <color theme="1"/>
        <rFont val="等线"/>
        <family val="3"/>
        <charset val="134"/>
        <scheme val="minor"/>
      </rPr>
      <t>B</t>
    </r>
    <phoneticPr fontId="1" type="noConversion"/>
  </si>
  <si>
    <t>总不确定度U</t>
    <phoneticPr fontId="1" type="noConversion"/>
  </si>
  <si>
    <t>下落速度</t>
    <phoneticPr fontId="1" type="noConversion"/>
  </si>
  <si>
    <r>
      <t>估算得油滴半径r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/m</t>
    </r>
    <phoneticPr fontId="1" type="noConversion"/>
  </si>
  <si>
    <t>静态法得油滴电荷量平均值q/C</t>
    <phoneticPr fontId="1" type="noConversion"/>
  </si>
  <si>
    <t>动态法得油滴电荷量q/C</t>
    <phoneticPr fontId="1" type="noConversion"/>
  </si>
  <si>
    <r>
      <t>动态法得油滴电荷量不确定度U</t>
    </r>
    <r>
      <rPr>
        <vertAlign val="subscript"/>
        <sz val="11"/>
        <color theme="1"/>
        <rFont val="等线"/>
        <family val="3"/>
        <charset val="134"/>
        <scheme val="minor"/>
      </rPr>
      <t>q</t>
    </r>
    <r>
      <rPr>
        <sz val="11"/>
        <color theme="1"/>
        <rFont val="等线"/>
        <family val="2"/>
        <scheme val="minor"/>
      </rPr>
      <t>/C</t>
    </r>
    <phoneticPr fontId="1" type="noConversion"/>
  </si>
  <si>
    <t>第2滴</t>
    <phoneticPr fontId="1" type="noConversion"/>
  </si>
  <si>
    <t>第3滴</t>
    <phoneticPr fontId="1" type="noConversion"/>
  </si>
  <si>
    <r>
      <t>下降时间t</t>
    </r>
    <r>
      <rPr>
        <vertAlign val="subscript"/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2"/>
        <scheme val="minor"/>
      </rPr>
      <t>/s</t>
    </r>
    <phoneticPr fontId="1" type="noConversion"/>
  </si>
  <si>
    <r>
      <t>上升时间t</t>
    </r>
    <r>
      <rPr>
        <vertAlign val="subscript"/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2"/>
        <scheme val="minor"/>
      </rPr>
      <t>/s</t>
    </r>
    <phoneticPr fontId="1" type="noConversion"/>
  </si>
  <si>
    <r>
      <t>静态法得油滴电荷量不确定度U</t>
    </r>
    <r>
      <rPr>
        <vertAlign val="subscript"/>
        <sz val="11"/>
        <color theme="1"/>
        <rFont val="等线"/>
        <family val="3"/>
        <charset val="134"/>
        <scheme val="minor"/>
      </rPr>
      <t>q</t>
    </r>
    <r>
      <rPr>
        <sz val="11"/>
        <color theme="1"/>
        <rFont val="等线"/>
        <family val="2"/>
        <scheme val="minor"/>
      </rPr>
      <t>/C</t>
    </r>
    <phoneticPr fontId="1" type="noConversion"/>
  </si>
  <si>
    <t>静态法得元电荷e/C</t>
    <phoneticPr fontId="1" type="noConversion"/>
  </si>
  <si>
    <t>动态法得元电荷e/C</t>
    <phoneticPr fontId="1" type="noConversion"/>
  </si>
  <si>
    <t>静态法得元电荷平均值e/C</t>
    <phoneticPr fontId="1" type="noConversion"/>
  </si>
  <si>
    <t>动态法得元电荷平均值e/C</t>
    <phoneticPr fontId="1" type="noConversion"/>
  </si>
  <si>
    <t>与标准值的误差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</si>
</sst>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E+00"/>
    <numFmt numFmtId="178" formatCode="0.000E+00"/>
    <numFmt numFmtId="180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Normal="100" workbookViewId="0">
      <selection sqref="A1:W1"/>
    </sheetView>
  </sheetViews>
  <sheetFormatPr defaultRowHeight="14.15" x14ac:dyDescent="0.35"/>
  <cols>
    <col min="2" max="2" width="12.42578125" bestFit="1" customWidth="1"/>
    <col min="14" max="15" width="11.7109375" bestFit="1" customWidth="1"/>
    <col min="16" max="18" width="11.5703125" bestFit="1" customWidth="1"/>
    <col min="19" max="19" width="12.42578125" bestFit="1" customWidth="1"/>
    <col min="20" max="20" width="9.42578125" bestFit="1" customWidth="1"/>
    <col min="21" max="21" width="11.5703125" bestFit="1" customWidth="1"/>
    <col min="23" max="23" width="9.42578125" bestFit="1" customWidth="1"/>
  </cols>
  <sheetData>
    <row r="1" spans="1:23" ht="14.15" customHeight="1" x14ac:dyDescent="0.35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28.4" customHeight="1" x14ac:dyDescent="0.35">
      <c r="A2" s="5" t="s">
        <v>0</v>
      </c>
      <c r="B2" s="5" t="s">
        <v>4</v>
      </c>
      <c r="C2" s="5" t="s">
        <v>2</v>
      </c>
      <c r="D2" s="5"/>
      <c r="E2" s="5"/>
      <c r="F2" s="5"/>
      <c r="G2" s="5"/>
      <c r="H2" s="5"/>
      <c r="I2" s="5"/>
      <c r="J2" s="5"/>
      <c r="K2" s="5" t="s">
        <v>5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21</v>
      </c>
      <c r="T2" s="5" t="s">
        <v>22</v>
      </c>
      <c r="U2" s="5" t="s">
        <v>15</v>
      </c>
      <c r="V2" s="7" t="s">
        <v>16</v>
      </c>
      <c r="W2" s="5" t="s">
        <v>23</v>
      </c>
    </row>
    <row r="3" spans="1:23" ht="28.4" customHeight="1" x14ac:dyDescent="0.35">
      <c r="A3" s="5"/>
      <c r="B3" s="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8"/>
      <c r="W3" s="5"/>
    </row>
    <row r="4" spans="1:23" ht="16.75" x14ac:dyDescent="0.35">
      <c r="A4" s="5" t="s">
        <v>1</v>
      </c>
      <c r="B4" s="1" t="s">
        <v>6</v>
      </c>
      <c r="C4" s="1">
        <v>199</v>
      </c>
      <c r="D4" s="1">
        <v>199</v>
      </c>
      <c r="E4" s="1">
        <v>199</v>
      </c>
      <c r="F4" s="1">
        <v>199</v>
      </c>
      <c r="G4" s="1">
        <v>199</v>
      </c>
      <c r="H4" s="1">
        <v>199</v>
      </c>
      <c r="I4" s="1">
        <v>199</v>
      </c>
      <c r="J4" s="1">
        <v>199</v>
      </c>
      <c r="K4" s="1">
        <f>AVERAGE(C4:J4)</f>
        <v>199</v>
      </c>
      <c r="L4" s="1">
        <f>SQRT(_xlfn.VAR.P(C4:J4)/7)</f>
        <v>0</v>
      </c>
      <c r="M4" s="1">
        <f>L4/SQRT(8)</f>
        <v>0</v>
      </c>
      <c r="N4" s="2">
        <f>1/3</f>
        <v>0.33333333333333331</v>
      </c>
      <c r="O4" s="2">
        <f>SQRT((2.37*M4)^2+(1.96*N4)^2)</f>
        <v>0.65333333333333332</v>
      </c>
      <c r="P4" s="4">
        <f>0.002/K5</f>
        <v>9.3951849677040514E-5</v>
      </c>
      <c r="Q4" s="4">
        <f>SQRT(9*0.0000183*P4/(2*9.794*(981-1.293)))</f>
        <v>8.9795859906274701E-7</v>
      </c>
      <c r="R4" s="4">
        <f>9*SQRT(2)*PI()*0.005*SQRT((0.0000183*0.002)^3/((981-1.293)*9.794))/K4*(1/(1+0.00822/(101300*Q4)))^(3/2)*(1/K5)^(3/2)</f>
        <v>6.4220282801801818E-19</v>
      </c>
      <c r="S4" s="6">
        <f>R4*SQRT((O4/K4)^2+(3/2*O5/K5)^2)</f>
        <v>7.1094600524302183E-21</v>
      </c>
      <c r="T4" s="12">
        <f>R4/4</f>
        <v>1.6055070700450455E-19</v>
      </c>
      <c r="U4" s="4">
        <f>9*SQRT(2)*PI()*0.005*SQRT((0.0000183*0.002)^3/((981-1.293)*9.794))/K6*(1/K5+1/K7)*SQRT(1/K5)*(1/(1+0.00822/(101300*Q4)))^(3/2)</f>
        <v>6.4578982950866034E-19</v>
      </c>
      <c r="V4" s="9">
        <f>U4*SQRT((1/(2*J5^2)*(J5+2/(1/J5+1/J7))*O5)^2+(1/J7^2/(1/J5+1/J7)*O7)^2)</f>
        <v>5.4352339941895631E-21</v>
      </c>
      <c r="W4" s="15">
        <f>U4/4</f>
        <v>1.6144745737716508E-19</v>
      </c>
    </row>
    <row r="5" spans="1:23" ht="16.75" x14ac:dyDescent="0.35">
      <c r="A5" s="5"/>
      <c r="B5" s="1" t="s">
        <v>19</v>
      </c>
      <c r="C5" s="2">
        <v>21.1</v>
      </c>
      <c r="D5" s="2">
        <v>21.15</v>
      </c>
      <c r="E5" s="2">
        <v>21.6</v>
      </c>
      <c r="F5" s="2">
        <v>21.1</v>
      </c>
      <c r="G5" s="2">
        <v>21.4</v>
      </c>
      <c r="H5" s="2">
        <v>21.2</v>
      </c>
      <c r="I5" s="2">
        <v>21.7</v>
      </c>
      <c r="J5" s="2">
        <v>21.05</v>
      </c>
      <c r="K5" s="2">
        <f t="shared" ref="K5:K7" si="0">AVERAGE(C5:J5)</f>
        <v>21.287500000000001</v>
      </c>
      <c r="L5" s="3">
        <f t="shared" ref="L5:L7" si="1">SQRT(_xlfn.VAR.P(C5:J5)/7)</f>
        <v>8.8008725216797104E-2</v>
      </c>
      <c r="M5" s="3">
        <f t="shared" ref="M5:M15" si="2">L5/SQRT(8)</f>
        <v>3.1115783202190366E-2</v>
      </c>
      <c r="N5" s="3">
        <f>0.2/3</f>
        <v>6.6666666666666666E-2</v>
      </c>
      <c r="O5" s="2">
        <f t="shared" ref="O5:O7" si="3">SQRT((2.37*M5)^2+(1.96*N5)^2)</f>
        <v>0.15004004539446858</v>
      </c>
      <c r="P5" s="4"/>
      <c r="Q5" s="4"/>
      <c r="R5" s="4"/>
      <c r="S5" s="6"/>
      <c r="T5" s="12"/>
      <c r="U5" s="4"/>
      <c r="V5" s="10"/>
      <c r="W5" s="15"/>
    </row>
    <row r="6" spans="1:23" ht="16.75" x14ac:dyDescent="0.35">
      <c r="A6" s="5"/>
      <c r="B6" s="1" t="s">
        <v>7</v>
      </c>
      <c r="C6" s="1">
        <v>298</v>
      </c>
      <c r="D6" s="1">
        <v>298</v>
      </c>
      <c r="E6" s="1">
        <v>298</v>
      </c>
      <c r="F6" s="1">
        <v>298</v>
      </c>
      <c r="G6" s="1">
        <v>298</v>
      </c>
      <c r="H6" s="1">
        <v>298</v>
      </c>
      <c r="I6" s="1">
        <v>298</v>
      </c>
      <c r="J6" s="1">
        <v>298</v>
      </c>
      <c r="K6" s="1">
        <f t="shared" si="0"/>
        <v>298</v>
      </c>
      <c r="L6" s="1">
        <f t="shared" si="1"/>
        <v>0</v>
      </c>
      <c r="M6" s="1">
        <f t="shared" si="2"/>
        <v>0</v>
      </c>
      <c r="N6" s="2">
        <f>1/3</f>
        <v>0.33333333333333331</v>
      </c>
      <c r="O6" s="2">
        <f t="shared" si="3"/>
        <v>0.65333333333333332</v>
      </c>
      <c r="P6" s="4"/>
      <c r="Q6" s="4"/>
      <c r="R6" s="4"/>
      <c r="S6" s="6"/>
      <c r="T6" s="12"/>
      <c r="U6" s="4"/>
      <c r="V6" s="10"/>
      <c r="W6" s="15"/>
    </row>
    <row r="7" spans="1:23" ht="16.75" x14ac:dyDescent="0.35">
      <c r="A7" s="5"/>
      <c r="B7" s="1" t="s">
        <v>20</v>
      </c>
      <c r="C7" s="2">
        <v>41.91</v>
      </c>
      <c r="D7" s="2">
        <v>42.25</v>
      </c>
      <c r="E7" s="2">
        <v>41.87</v>
      </c>
      <c r="F7" s="2">
        <v>41.84</v>
      </c>
      <c r="G7" s="2">
        <v>42.4</v>
      </c>
      <c r="H7" s="2">
        <v>41.79</v>
      </c>
      <c r="I7" s="2">
        <v>42.1</v>
      </c>
      <c r="J7" s="2">
        <v>42.5</v>
      </c>
      <c r="K7" s="2">
        <f t="shared" si="0"/>
        <v>42.082500000000003</v>
      </c>
      <c r="L7" s="3">
        <f t="shared" si="1"/>
        <v>9.661687962551592E-2</v>
      </c>
      <c r="M7" s="3">
        <f t="shared" si="2"/>
        <v>3.4159225380143342E-2</v>
      </c>
      <c r="N7" s="3">
        <f>0.2/3</f>
        <v>6.6666666666666666E-2</v>
      </c>
      <c r="O7" s="2">
        <f t="shared" si="3"/>
        <v>0.15371360573496945</v>
      </c>
      <c r="P7" s="4"/>
      <c r="Q7" s="4"/>
      <c r="R7" s="4"/>
      <c r="S7" s="6"/>
      <c r="T7" s="12"/>
      <c r="U7" s="4"/>
      <c r="V7" s="11"/>
      <c r="W7" s="15"/>
    </row>
    <row r="8" spans="1:23" ht="16.75" x14ac:dyDescent="0.35">
      <c r="A8" s="5" t="s">
        <v>17</v>
      </c>
      <c r="B8" s="1" t="s">
        <v>6</v>
      </c>
      <c r="C8" s="1">
        <v>173</v>
      </c>
      <c r="D8" s="1">
        <v>173</v>
      </c>
      <c r="E8" s="1">
        <v>173</v>
      </c>
      <c r="F8" s="1">
        <v>173</v>
      </c>
      <c r="G8" s="1">
        <v>173</v>
      </c>
      <c r="H8" s="1">
        <v>173</v>
      </c>
      <c r="I8" s="1">
        <v>173</v>
      </c>
      <c r="J8" s="1">
        <v>173</v>
      </c>
      <c r="K8" s="1">
        <f>AVERAGE(C8:J8)</f>
        <v>173</v>
      </c>
      <c r="L8" s="1">
        <f>SQRT(_xlfn.VAR.P(C8:J8)/7)</f>
        <v>0</v>
      </c>
      <c r="M8" s="1">
        <f>L8/SQRT(8)</f>
        <v>0</v>
      </c>
      <c r="N8" s="2">
        <f>1/3</f>
        <v>0.33333333333333331</v>
      </c>
      <c r="O8" s="2">
        <f>SQRT((2.37*M8)^2+(1.96*N8)^2)</f>
        <v>0.65333333333333332</v>
      </c>
      <c r="P8" s="4">
        <f>0.002/K9</f>
        <v>9.9502487562189051E-5</v>
      </c>
      <c r="Q8" s="4">
        <f>SQRT(9*0.0000183*P8/(2*9.794*(981-1.293)))</f>
        <v>9.2410350078731581E-7</v>
      </c>
      <c r="R8" s="4">
        <f>9*SQRT(2)*PI()*0.005*SQRT((0.0000183*0.002)^3/((981-1.293)*9.794))/K8*(1/(1+0.00822/(101300*Q8)))^(3/2)*(1/K9)^(3/2)</f>
        <v>8.0798140560248255E-19</v>
      </c>
      <c r="S8" s="6">
        <f>R8*SQRT((O8/K8)^2+(3/2*O9/K9)^2)</f>
        <v>9.6513359821418155E-21</v>
      </c>
      <c r="T8" s="12">
        <f>R8/5</f>
        <v>1.615962811204965E-19</v>
      </c>
      <c r="U8" s="4">
        <f>9*SQRT(2)*PI()*0.005*SQRT((0.0000183*0.002)^3/((981-1.293)*9.794))/K10*(1/K9+1/K11)*SQRT(1/K9)*(1/(1+0.00822/(101300*Q8)))^(3/2)</f>
        <v>8.1456687338667745E-19</v>
      </c>
      <c r="V8" s="9">
        <f>U8*SQRT((1/(2*J9^2)*(J9+2/(1/J9+1/J11))*O9)^2+(1/J11^2/(1/J9+1/J11)*O11)^2)</f>
        <v>7.277113380646692E-21</v>
      </c>
      <c r="W8" s="15">
        <f>U8/5</f>
        <v>1.6291337467733548E-19</v>
      </c>
    </row>
    <row r="9" spans="1:23" ht="16.75" x14ac:dyDescent="0.35">
      <c r="A9" s="5"/>
      <c r="B9" s="1" t="s">
        <v>19</v>
      </c>
      <c r="C9" s="2">
        <v>20.2</v>
      </c>
      <c r="D9" s="2">
        <v>20.11</v>
      </c>
      <c r="E9" s="2">
        <v>19.899999999999999</v>
      </c>
      <c r="F9" s="2">
        <v>20</v>
      </c>
      <c r="G9" s="2">
        <v>20.7</v>
      </c>
      <c r="H9" s="2">
        <v>19.989999999999998</v>
      </c>
      <c r="I9" s="2">
        <v>19.940000000000001</v>
      </c>
      <c r="J9" s="2">
        <v>19.96</v>
      </c>
      <c r="K9" s="2">
        <f t="shared" ref="K9:K11" si="4">AVERAGE(C9:J9)</f>
        <v>20.100000000000001</v>
      </c>
      <c r="L9" s="3">
        <f t="shared" ref="L9:L11" si="5">SQRT(_xlfn.VAR.P(C9:J9)/7)</f>
        <v>9.2330926563096868E-2</v>
      </c>
      <c r="M9" s="3">
        <f t="shared" si="2"/>
        <v>3.2643912143001462E-2</v>
      </c>
      <c r="N9" s="3">
        <f>0.2/3</f>
        <v>6.6666666666666666E-2</v>
      </c>
      <c r="O9" s="2">
        <f t="shared" ref="O9:O11" si="6">SQRT((2.37*M9)^2+(1.96*N9)^2)</f>
        <v>0.15185284600651305</v>
      </c>
      <c r="P9" s="4"/>
      <c r="Q9" s="4"/>
      <c r="R9" s="4"/>
      <c r="S9" s="6"/>
      <c r="T9" s="12"/>
      <c r="U9" s="4"/>
      <c r="V9" s="10"/>
      <c r="W9" s="15"/>
    </row>
    <row r="10" spans="1:23" ht="16.75" x14ac:dyDescent="0.35">
      <c r="A10" s="5"/>
      <c r="B10" s="1" t="s">
        <v>7</v>
      </c>
      <c r="C10" s="1">
        <v>259</v>
      </c>
      <c r="D10" s="1">
        <v>259</v>
      </c>
      <c r="E10" s="1">
        <v>259</v>
      </c>
      <c r="F10" s="1">
        <v>259</v>
      </c>
      <c r="G10" s="1">
        <v>259</v>
      </c>
      <c r="H10" s="1">
        <v>259</v>
      </c>
      <c r="I10" s="1">
        <v>259</v>
      </c>
      <c r="J10" s="1">
        <v>259</v>
      </c>
      <c r="K10" s="1">
        <f t="shared" si="4"/>
        <v>259</v>
      </c>
      <c r="L10" s="1">
        <f t="shared" si="5"/>
        <v>0</v>
      </c>
      <c r="M10" s="1">
        <f t="shared" si="2"/>
        <v>0</v>
      </c>
      <c r="N10" s="2">
        <f>1/3</f>
        <v>0.33333333333333331</v>
      </c>
      <c r="O10" s="2">
        <f t="shared" si="6"/>
        <v>0.65333333333333332</v>
      </c>
      <c r="P10" s="4"/>
      <c r="Q10" s="4"/>
      <c r="R10" s="4"/>
      <c r="S10" s="6"/>
      <c r="T10" s="12"/>
      <c r="U10" s="4"/>
      <c r="V10" s="10"/>
      <c r="W10" s="15"/>
    </row>
    <row r="11" spans="1:23" ht="16.75" x14ac:dyDescent="0.35">
      <c r="A11" s="5"/>
      <c r="B11" s="1" t="s">
        <v>20</v>
      </c>
      <c r="C11" s="2">
        <v>39.5</v>
      </c>
      <c r="D11" s="2">
        <v>39.479999999999997</v>
      </c>
      <c r="E11" s="2">
        <v>39.770000000000003</v>
      </c>
      <c r="F11" s="2">
        <v>39.67</v>
      </c>
      <c r="G11" s="2">
        <v>39.590000000000003</v>
      </c>
      <c r="H11" s="2">
        <v>39.56</v>
      </c>
      <c r="I11" s="2">
        <v>39.31</v>
      </c>
      <c r="J11" s="2">
        <v>38.840000000000003</v>
      </c>
      <c r="K11" s="2">
        <f t="shared" si="4"/>
        <v>39.465000000000003</v>
      </c>
      <c r="L11" s="3">
        <f t="shared" si="5"/>
        <v>0.1014009016584312</v>
      </c>
      <c r="M11" s="3">
        <f t="shared" si="2"/>
        <v>3.5850632590553468E-2</v>
      </c>
      <c r="N11" s="3">
        <f>0.2/3</f>
        <v>6.6666666666666666E-2</v>
      </c>
      <c r="O11" s="2">
        <f t="shared" si="6"/>
        <v>0.15586211471863032</v>
      </c>
      <c r="P11" s="4"/>
      <c r="Q11" s="4"/>
      <c r="R11" s="4"/>
      <c r="S11" s="6"/>
      <c r="T11" s="12"/>
      <c r="U11" s="4"/>
      <c r="V11" s="11"/>
      <c r="W11" s="15"/>
    </row>
    <row r="12" spans="1:23" ht="16.75" x14ac:dyDescent="0.35">
      <c r="A12" s="5" t="s">
        <v>18</v>
      </c>
      <c r="B12" s="1" t="s">
        <v>6</v>
      </c>
      <c r="C12" s="1">
        <v>194</v>
      </c>
      <c r="D12" s="1">
        <v>194</v>
      </c>
      <c r="E12" s="1">
        <v>194</v>
      </c>
      <c r="F12" s="1">
        <v>194</v>
      </c>
      <c r="G12" s="1">
        <v>194</v>
      </c>
      <c r="H12" s="1">
        <v>194</v>
      </c>
      <c r="I12" s="1">
        <v>194</v>
      </c>
      <c r="J12" s="1">
        <v>194</v>
      </c>
      <c r="K12" s="1">
        <f>AVERAGE(C12:J12)</f>
        <v>194</v>
      </c>
      <c r="L12" s="1">
        <f>SQRT(_xlfn.VAR.P(C12:J12)/7)</f>
        <v>0</v>
      </c>
      <c r="M12" s="1">
        <f>L12/SQRT(8)</f>
        <v>0</v>
      </c>
      <c r="N12" s="2">
        <f>1/3</f>
        <v>0.33333333333333331</v>
      </c>
      <c r="O12" s="2">
        <f>SQRT((2.37*M12)^2+(1.96*N12)^2)</f>
        <v>0.65333333333333332</v>
      </c>
      <c r="P12" s="4">
        <f>0.002/K13</f>
        <v>1.0710221567708683E-4</v>
      </c>
      <c r="Q12" s="4">
        <f>SQRT(9*0.0000183*P12/(2*9.794*(981-1.293)))</f>
        <v>9.5874447461651378E-7</v>
      </c>
      <c r="R12" s="4">
        <f>9*SQRT(2)*PI()*0.005*SQRT((0.0000183*0.002)^3/((981-1.293)*9.794))/K12*(1/(1+0.00822/(101300*Q12)))^(3/2)*(1/K13)^(3/2)</f>
        <v>8.0815615136431357E-19</v>
      </c>
      <c r="S12" s="6">
        <f>R12*SQRT((O12/K12)^2+(3/2*O13/K13)^2)</f>
        <v>9.0232281356692394E-21</v>
      </c>
      <c r="T12" s="12">
        <f>R12/5</f>
        <v>1.6163123027286271E-19</v>
      </c>
      <c r="U12" s="4">
        <f>9*SQRT(2)*PI()*0.005*SQRT((0.0000183*0.002)^3/((981-1.293)*9.794))/K14*(1/K13+1/K15)*SQRT(1/K13)*(1/(1+0.00822/(101300*Q12)))^(3/2)</f>
        <v>8.1128461544554981E-19</v>
      </c>
      <c r="V12" s="9">
        <f>U12*SQRT((1/(2*J13^2)*(J13+2/(1/J13+1/J15))*O13)^2+(1/J15^2/(1/J13+1/J15)*O15)^2)</f>
        <v>6.7774181972203353E-21</v>
      </c>
      <c r="W12" s="15">
        <f>U12/5</f>
        <v>1.6225692308910995E-19</v>
      </c>
    </row>
    <row r="13" spans="1:23" ht="16.75" x14ac:dyDescent="0.35">
      <c r="A13" s="5"/>
      <c r="B13" s="1" t="s">
        <v>19</v>
      </c>
      <c r="C13" s="2">
        <v>18.670000000000002</v>
      </c>
      <c r="D13" s="2">
        <v>18.63</v>
      </c>
      <c r="E13" s="2">
        <v>18.61</v>
      </c>
      <c r="F13" s="2">
        <v>18.579999999999998</v>
      </c>
      <c r="G13" s="2">
        <v>18.649999999999999</v>
      </c>
      <c r="H13" s="2">
        <v>18.760000000000002</v>
      </c>
      <c r="I13" s="2">
        <v>18.8</v>
      </c>
      <c r="J13" s="2">
        <v>18.690000000000001</v>
      </c>
      <c r="K13" s="2">
        <f t="shared" ref="K13:K15" si="7">AVERAGE(C13:J13)</f>
        <v>18.673749999999998</v>
      </c>
      <c r="L13" s="3">
        <f t="shared" ref="L13:L15" si="8">SQRT(_xlfn.VAR.P(C13:J13)/7)</f>
        <v>2.6385703650705916E-2</v>
      </c>
      <c r="M13" s="3">
        <f t="shared" si="2"/>
        <v>9.3287549888963969E-3</v>
      </c>
      <c r="N13" s="3">
        <f>0.2/3</f>
        <v>6.6666666666666666E-2</v>
      </c>
      <c r="O13" s="2">
        <f t="shared" ref="O13:O15" si="9">SQRT((2.37*M13)^2+(1.96*N13)^2)</f>
        <v>0.13252393090153472</v>
      </c>
      <c r="P13" s="4"/>
      <c r="Q13" s="4"/>
      <c r="R13" s="4"/>
      <c r="S13" s="6"/>
      <c r="T13" s="12"/>
      <c r="U13" s="4"/>
      <c r="V13" s="10"/>
      <c r="W13" s="15"/>
    </row>
    <row r="14" spans="1:23" ht="16.75" x14ac:dyDescent="0.35">
      <c r="A14" s="5"/>
      <c r="B14" s="1" t="s">
        <v>7</v>
      </c>
      <c r="C14" s="1">
        <v>291</v>
      </c>
      <c r="D14" s="1">
        <v>291</v>
      </c>
      <c r="E14" s="1">
        <v>291</v>
      </c>
      <c r="F14" s="1">
        <v>291</v>
      </c>
      <c r="G14" s="1">
        <v>291</v>
      </c>
      <c r="H14" s="1">
        <v>291</v>
      </c>
      <c r="I14" s="1">
        <v>291</v>
      </c>
      <c r="J14" s="1">
        <v>291</v>
      </c>
      <c r="K14" s="1">
        <f t="shared" si="7"/>
        <v>291</v>
      </c>
      <c r="L14" s="1">
        <f t="shared" si="8"/>
        <v>0</v>
      </c>
      <c r="M14" s="1">
        <f t="shared" si="2"/>
        <v>0</v>
      </c>
      <c r="N14" s="2">
        <f>1/3</f>
        <v>0.33333333333333331</v>
      </c>
      <c r="O14" s="2">
        <f t="shared" si="9"/>
        <v>0.65333333333333332</v>
      </c>
      <c r="P14" s="4"/>
      <c r="Q14" s="4"/>
      <c r="R14" s="4"/>
      <c r="S14" s="6"/>
      <c r="T14" s="12"/>
      <c r="U14" s="4"/>
      <c r="V14" s="10"/>
      <c r="W14" s="15"/>
    </row>
    <row r="15" spans="1:23" ht="16.75" x14ac:dyDescent="0.35">
      <c r="A15" s="5"/>
      <c r="B15" s="1" t="s">
        <v>20</v>
      </c>
      <c r="C15" s="2">
        <v>36.81</v>
      </c>
      <c r="D15" s="2">
        <v>36.85</v>
      </c>
      <c r="E15" s="2">
        <v>36.97</v>
      </c>
      <c r="F15" s="2">
        <v>36.72</v>
      </c>
      <c r="G15" s="2">
        <v>36.909999999999997</v>
      </c>
      <c r="H15" s="2">
        <v>37.14</v>
      </c>
      <c r="I15" s="2">
        <v>36.840000000000003</v>
      </c>
      <c r="J15" s="2">
        <v>37.11</v>
      </c>
      <c r="K15" s="2">
        <f t="shared" si="7"/>
        <v>36.918750000000003</v>
      </c>
      <c r="L15" s="3">
        <f t="shared" si="8"/>
        <v>5.1838950468873025E-2</v>
      </c>
      <c r="M15" s="3">
        <f t="shared" si="2"/>
        <v>1.8327836703066834E-2</v>
      </c>
      <c r="N15" s="3">
        <f>0.2/3</f>
        <v>6.6666666666666666E-2</v>
      </c>
      <c r="O15" s="2">
        <f t="shared" si="9"/>
        <v>0.13769730716316708</v>
      </c>
      <c r="P15" s="4"/>
      <c r="Q15" s="4"/>
      <c r="R15" s="4"/>
      <c r="S15" s="6"/>
      <c r="T15" s="12"/>
      <c r="U15" s="4"/>
      <c r="V15" s="11"/>
      <c r="W15" s="15"/>
    </row>
    <row r="16" spans="1:23" ht="42.45" x14ac:dyDescent="0.35">
      <c r="S16" s="16" t="s">
        <v>24</v>
      </c>
      <c r="T16" s="17">
        <f>AVERAGE(T4:T15)</f>
        <v>1.6125940613262128E-19</v>
      </c>
      <c r="V16" s="16" t="s">
        <v>25</v>
      </c>
      <c r="W16" s="17">
        <f>AVERAGE(W4:W15)</f>
        <v>1.6220591838120351E-19</v>
      </c>
    </row>
    <row r="17" spans="19:23" ht="28.3" x14ac:dyDescent="0.35">
      <c r="S17" s="16" t="s">
        <v>26</v>
      </c>
      <c r="T17" s="19">
        <f>(T16-1.602E-19)/1.602E-19</f>
        <v>6.6130220513188481E-3</v>
      </c>
      <c r="U17" s="19"/>
      <c r="V17" s="19"/>
      <c r="W17" s="18">
        <f t="shared" ref="U17:W17" si="10">(W16-1.602E-19)/1.602E-19</f>
        <v>1.2521338209759736E-2</v>
      </c>
    </row>
  </sheetData>
  <mergeCells count="44">
    <mergeCell ref="W2:W3"/>
    <mergeCell ref="W4:W7"/>
    <mergeCell ref="W8:W11"/>
    <mergeCell ref="W12:W15"/>
    <mergeCell ref="A1:W1"/>
    <mergeCell ref="V2:V3"/>
    <mergeCell ref="V4:V7"/>
    <mergeCell ref="V8:V11"/>
    <mergeCell ref="V12:V15"/>
    <mergeCell ref="T2:T3"/>
    <mergeCell ref="T4:T7"/>
    <mergeCell ref="T8:T11"/>
    <mergeCell ref="T12:T15"/>
    <mergeCell ref="K2:K3"/>
    <mergeCell ref="L2:L3"/>
    <mergeCell ref="M2:M3"/>
    <mergeCell ref="N2:N3"/>
    <mergeCell ref="O2:O3"/>
    <mergeCell ref="B2:B3"/>
    <mergeCell ref="A2:A3"/>
    <mergeCell ref="C2:J2"/>
    <mergeCell ref="Q4:Q7"/>
    <mergeCell ref="P4:P7"/>
    <mergeCell ref="R4:R7"/>
    <mergeCell ref="U4:U7"/>
    <mergeCell ref="P2:P3"/>
    <mergeCell ref="Q2:Q3"/>
    <mergeCell ref="R2:R3"/>
    <mergeCell ref="S2:S3"/>
    <mergeCell ref="U2:U3"/>
    <mergeCell ref="A4:A7"/>
    <mergeCell ref="S4:S7"/>
    <mergeCell ref="A8:A11"/>
    <mergeCell ref="P8:P11"/>
    <mergeCell ref="Q8:Q11"/>
    <mergeCell ref="R8:R11"/>
    <mergeCell ref="S8:S11"/>
    <mergeCell ref="U8:U11"/>
    <mergeCell ref="A12:A15"/>
    <mergeCell ref="P12:P15"/>
    <mergeCell ref="Q12:Q15"/>
    <mergeCell ref="R12:R15"/>
    <mergeCell ref="S12:S15"/>
    <mergeCell ref="U12:U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2020-04-27T13:52:35Z</dcterms:modified>
</cp:coreProperties>
</file>