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分列" sheetId="1" r:id="rId4"/>
    <sheet state="visible" name="CSV" sheetId="2" r:id="rId5"/>
  </sheets>
  <definedNames/>
  <calcPr/>
</workbook>
</file>

<file path=xl/sharedStrings.xml><?xml version="1.0" encoding="utf-8"?>
<sst xmlns="http://schemas.openxmlformats.org/spreadsheetml/2006/main" count="316" uniqueCount="316">
  <si>
    <t>王朝,位序,庙号,谥号,常用名,姓名,登基年份,登基月份,登基日期,结束年份,结束月份,结束日期,在位时长,登基法理,备注</t>
  </si>
  <si>
    <t>秦朝,1,-,-,始皇帝,嬴政,-221,-,-,-210,-,-,约11年,创业,登基与结束的精确日期待考</t>
  </si>
  <si>
    <t>秦朝,2,-,-,二世皇帝,胡亥,-210,-,-,-207,-,-,约3年,继承,登基与结束的精确日期待考</t>
  </si>
  <si>
    <t>秦朝,3,-,-,秦王子婴,子婴,-207,-,-,-207,-,-,46天,政变,在位时长明确，精确起止日待考</t>
  </si>
  <si>
    <t>西汉,1,太祖,高皇帝,汉高祖,刘邦,-202,2,28,-195,4,25,7年93天,创业,-</t>
  </si>
  <si>
    <t>西汉,2,-,孝惠皇帝,汉惠帝,刘盈,-195,6,23,-188,9,26,7年95天,继承,-</t>
  </si>
  <si>
    <t>西汉,3,-,-,(前)少帝,刘恭,-188,10,-,-184,6,15,约4年,继承,被废，精确登基日待考</t>
  </si>
  <si>
    <t>西汉,4,-,-,(后)少帝,刘弘,-184,6,15,-180,11,14,4年152天,继承,被废黜后遭诛杀</t>
  </si>
  <si>
    <t>西汉,5,太宗,孝文皇帝,汉文帝,刘恒,-180,11,14,-157,7,6,22年235天,政变,-</t>
  </si>
  <si>
    <t>西汉,6,-,孝景皇帝,汉景帝,刘启,-157,7,14,-141,3,9,15年238天,继承,-</t>
  </si>
  <si>
    <t>西汉,7,世宗,孝武皇帝,汉武帝,刘彻,-141,3,10,-87,3,29,54年20天,继承,-</t>
  </si>
  <si>
    <t>西汉,8,-,孝昭皇帝,汉昭帝,刘弗陵,-87,3,30,-74,6,5,13年67天,继承,-</t>
  </si>
  <si>
    <t>西汉,9,-,-,海昏侯/废帝,刘贺,-74,6,5,-74,8,1,27天,继承,被废</t>
  </si>
  <si>
    <t>西汉,10,中宗,孝宣皇帝,汉宣帝,刘询,-74,8,1,-49,1,10,25年122天,政变,-</t>
  </si>
  <si>
    <t>西汉,11,-,孝元皇帝,汉元帝,刘奭,-49,1,10,-33,7,8,15年179天,继承,-</t>
  </si>
  <si>
    <t>西汉,12,-,孝成皇帝,汉成帝,刘骜,-33,7,9,-7,4,17,25年283天,继承,-</t>
  </si>
  <si>
    <t>西汉,13,-,孝哀皇帝,汉哀帝,刘欣,-7,5,7,-1,8,15,6年100天,继承,-</t>
  </si>
  <si>
    <t>西汉,14,-,孝平皇帝,汉平帝,刘衎,-1,10,17,6,2,3,6年109天,继承,-</t>
  </si>
  <si>
    <t>西汉,15,-,-,孺子婴,刘婴,6,3,-,8,12,-,2年268天,继承,未正式登基，被王莽废黜</t>
  </si>
  <si>
    <t>新朝,1,-,-,新朝皇帝,王莽,9,1,10,23,10,6,14年269天,受禅,新朝建立者</t>
  </si>
  <si>
    <t>东汉,1,世祖,光武皇帝,汉光武帝,刘秀,25,8,5,57,3,29,31年236天,创业,-</t>
  </si>
  <si>
    <t>东汉,2,显宗,孝明皇帝,汉明帝,刘庄,57,3,29,75,9,5,18年160天,继承,-</t>
  </si>
  <si>
    <t>东汉,3,肃宗,孝章皇帝,汉章帝,刘炟,75,9,5,88,4,9,12年217天,继承,-</t>
  </si>
  <si>
    <t>东汉,4,-,孝和皇帝,汉和帝,刘肇,88,4,9,106,2,13,17年310天,继承,-</t>
  </si>
  <si>
    <t>东汉,5,-,孝殇皇帝,汉殇帝,刘隆,106,2,13,106,9,21,220天,继承,-</t>
  </si>
  <si>
    <t>东汉,6,-,孝安皇帝,汉安帝,刘祜,106,9,21,125,4,30,18年221天,继承,-</t>
  </si>
  <si>
    <t>东汉,7,-,-,(前)少帝,刘懿,125,5,18,125,12,10,206天,继承,-</t>
  </si>
  <si>
    <t>东汉,8,-,孝顺皇帝,汉顺帝,刘保,125,12,16,144,9,20,18年278天,政变,-</t>
  </si>
  <si>
    <t>东汉,9,-,孝冲皇帝,汉冲帝,刘炳,144,9,20,145,2,15,148天,继承,-</t>
  </si>
  <si>
    <t>东汉,10,-,孝质皇帝,汉质帝,刘缵,145,3,6,146,7,26,1年142天,继承,-</t>
  </si>
  <si>
    <t>东汉,11,-,孝桓皇帝,汉桓帝,刘志,146,8,1,168,1,25,21年177天,继承,-</t>
  </si>
  <si>
    <t>东汉,12,-,孝灵皇帝,汉灵帝,刘宏,168,2,17,189,5,13,21年85天,继承,-</t>
  </si>
  <si>
    <t>东汉,13,-,-,(后)少帝,刘辩,189,5,15,189,9,28,136天,继承,被废</t>
  </si>
  <si>
    <t>东汉,14,-,孝献皇帝,汉献帝,刘协,189,9,28,220,11,25,31年58天,政变,禅位于曹丕</t>
  </si>
  <si>
    <t>曹魏,1,高祖/世祖,文帝,魏文帝,曹丕,220,12,11,226,6,29,5年200天,受禅,受汉献帝禅让</t>
  </si>
  <si>
    <t>曹魏,2,烈祖,明帝,魏明帝,曹叡,226,6,29,239,1,22,12年207天,继承,-</t>
  </si>
  <si>
    <t>曹魏,3,-,-,齐王/邵陵厉公,曹芳,239,1,22,254,10,17,15年268天,继承,被权臣司马师废黜</t>
  </si>
  <si>
    <t>曹魏,4,-,-,高贵乡公,曹髦,254,11,1,260,6,2,5年214天,继承,讨伐司马昭时被弑</t>
  </si>
  <si>
    <t>曹魏,5,-,元帝,魏元帝,曹奂,260,6,27,266,2,4,5年222天,继承,禅位于司马炎</t>
  </si>
  <si>
    <t>蜀汉,1,-,昭烈帝,汉昭烈帝,刘备,221,5,15,223,6,10,2年26天,创业,-</t>
  </si>
  <si>
    <t>蜀汉,2,-,-,后主,刘禅,223,6,10,263,12,23,40年196天,继承,投降邓艾，蜀汉亡</t>
  </si>
  <si>
    <t>孙吴,1,太祖,大皇帝,吴大帝,孙权,229,5,23,252,5,21,22年363天,创业,-</t>
  </si>
  <si>
    <t>孙吴,2,-,-,会稽王,孙亮,252,5,21,258,11,26,6年189天,继承,被权臣孙綝废黜</t>
  </si>
  <si>
    <t>孙吴,3,-,景帝,吴景帝,孙休,258,11,30,264,9,3,5年277天,继承,-</t>
  </si>
  <si>
    <t>孙吴,4,-,-,末帝/归命侯,孙皓,264,10,1,280,5,1,15年212天,继承,投降西晋，孙吴亡</t>
  </si>
  <si>
    <t>西晋,1,世祖,武皇帝,晋武帝,司马炎,266,2,8,290,5,16,24年97天,受禅,-</t>
  </si>
  <si>
    <t>西晋,2,-,孝惠皇帝,晋惠帝,司马衷,290,5,16,307,1,8,16年237天,继承,曾被司马伦篡位，后复位</t>
  </si>
  <si>
    <t>西晋,3,-,-,-,司马伦,301,1,-,301,6,-,约数月,篡位,篡位，未被普遍视为正统皇帝</t>
  </si>
  <si>
    <t>前凉,1,-,武穆公/昭王,张轨,张轨,301,2,-,314,5,24,约13年,割据,西晋凉州刺史，前凉奠基者</t>
  </si>
  <si>
    <t>成汉,1,太宗,武皇帝,李雄,李雄,304,10,-,334,6,25,约30年,自立,在成都称帝，国号成</t>
  </si>
  <si>
    <t>汉赵（前赵）,1,高祖,光文皇帝,刘渊,刘渊,304,10,-,310,8,18,约6年,自立,匈奴贵族，308年称帝</t>
  </si>
  <si>
    <t>西晋,4,-,孝怀皇帝,晋怀帝,司马炽,307,3,-,313,7,-,6年4个月,继承,被刘聪俘虏</t>
  </si>
  <si>
    <t>汉赵（前赵）,2,烈宗,昭武皇帝,刘聪,刘聪,310,8,18,318,8,31,8年,政变,刘渊第四子，杀兄刘和夺位</t>
  </si>
  <si>
    <t>西晋,5,-,孝愍皇帝,晋愍帝,司马邺,313,6,7,316,12,11,3年187天,继承,投降刘曜，西晋灭亡</t>
  </si>
  <si>
    <t>前凉,2,高祖,昭王/元公,张寔,张寔,314,5,24,320,6,-,约6年,继承,张轨之子</t>
  </si>
  <si>
    <t>东晋,1,中宗,元皇帝,晋元帝,司马睿,318,4,26,323,1,3,4年252天,继承,-</t>
  </si>
  <si>
    <t>汉赵（前赵）,3,-,隐皇帝,刘粲,刘粲,318,8,31,318,9,-,约1个月,继承,刘聪之子，不久被靳准所杀</t>
  </si>
  <si>
    <t>汉赵（前赵）,4,-,-,刘曜,刘曜,318,10,-,329,1,-,约11年,自立/政变,刘渊族子，平定靳准之乱后即位，改国号为赵</t>
  </si>
  <si>
    <t>后赵,1,高祖,明皇帝,石勒,石勒,319,6,-,333,7,-,约14年,自立,319年称赵王，330年称帝</t>
  </si>
  <si>
    <t>前凉,3,太宗,成王/成烈王,张茂,张茂,320,6,-,324,5,-,约4年,继承,张轨之子，张寔之弟</t>
  </si>
  <si>
    <t>东晋,2,肃宗,明皇帝,晋明帝,司马绍,323,1,3,325,10,18,2年288天,继承,-</t>
  </si>
  <si>
    <t>前凉,4,世祖,文王/忠成公,张骏,张骏,324,5,-,346,4,-,约22年,继承,张寔之子</t>
  </si>
  <si>
    <t>东晋,3,显宗,成皇帝,晋成帝,司马衍,325,10,19,342,7,26,16年280天,继承,-</t>
  </si>
  <si>
    <t>后赵,2,-,-,石弘,石弘,333,7,-,334,11,-,约1年,继承,石勒之子，后被石虎废杀</t>
  </si>
  <si>
    <t>成汉,2,-,哀皇帝,李班,李班,334,6,25,334,10,-,约4个月,继承,李雄之侄，在位不足半年被杀</t>
  </si>
  <si>
    <t>成汉,3,-,幽公/哀皇帝,李期,李期,334,10,-,338,4,-,约4年,政变,李雄第四子，废黜李班后即位</t>
  </si>
  <si>
    <t>后赵,3,太祖,武皇帝,石虎,石虎,334,11,-,349,4,23,约15年,篡位,石勒之侄，废杀石弘自立</t>
  </si>
  <si>
    <t>前燕,1,太祖,文明皇帝,慕容皝,慕容皝,337,10,-,348,9,17,约11年,自立,慕容廆之子，前燕奠基者</t>
  </si>
  <si>
    <t>成汉,4,中宗,昭文皇帝,李寿,李寿,338,4,-,343,-,-,约6年,政变,李雄堂弟，废黜李期后即位，改国号为汉</t>
  </si>
  <si>
    <t>东晋,4,-,康皇帝,晋康帝,司马岳,342,7,26,344,10,17,2年83天,继承,-</t>
  </si>
  <si>
    <t>成汉,5,-,-,李势,李势,343,-,-,347,3,-,约5年,继承,李寿长子，降于东晋，成汉亡</t>
  </si>
  <si>
    <t>东晋,5,孝宗,穆皇帝,晋穆帝,司马聃,344,11,18,361,7,10,16年234天,继承,-</t>
  </si>
  <si>
    <t>前凉,5,世宗,桓王/敬烈公,张重华,张重华,346,4,-,353,11,-,约7年,继承,张骏之子</t>
  </si>
  <si>
    <t>前燕,2,烈祖,景昭皇帝,慕容儁,慕容儁,348,9,17,360,1,-,约12年,继承,慕容皝之子，352年称帝</t>
  </si>
  <si>
    <t>后赵,4,-,-,石世,石世,349,4,23,349,5,-,33天,继承,石虎之子，在位仅33日</t>
  </si>
  <si>
    <t>后赵,5,-,-,石遵,石遵,349,5,-,349,11,-,约6个月,政变,石虎之子，废石世自立</t>
  </si>
  <si>
    <t>后赵,6,-,-,石鉴,石鉴,349,11,-,350,1,-,约3个月,政变,石虎之子，废石遵自立</t>
  </si>
  <si>
    <t>后赵,7,-,-,石祗,石祗,350,1,-,351,4,-,约1年,自立,石虎之子，后赵末代君主</t>
  </si>
  <si>
    <t>前秦,1,太祖,惠武皇帝,苻洪,苻洪,350,1,-,350,3,-,约3个月,自立,前秦奠基者</t>
  </si>
  <si>
    <t>前秦,2,世宗,景明皇帝,苻健,苻健,350,3,-,355,6,-,约5年,继承,苻洪第三子，351年称帝</t>
  </si>
  <si>
    <t>前凉,6,-,哀公,张曜灵,张曜灵,353,11,-,353,12,-,约1个月,继承,张重华之子，被张祚废黜</t>
  </si>
  <si>
    <t>前凉,7,-,威王,张祚,张祚,353,12,-,355,9,-,约2年,篡位,张骏庶长子，废张曜灵自立，称帝</t>
  </si>
  <si>
    <t>前秦,3,-,厉王,苻生,苻生,355,6,-,357,5,-,约2年,继承,苻健第三子</t>
  </si>
  <si>
    <t>前凉,8,-,冲王/敬悼公,张玄靓,张玄靓,355,9,-,363,8,-,约8年,政变,张重华少子，去帝号</t>
  </si>
  <si>
    <t>前秦,4,世祖,宣昭皇帝,苻坚,苻坚,357,5,-,385,8,-,约28年,政变,苻健之侄，废杀苻生自立</t>
  </si>
  <si>
    <t>前燕,3,-,幽皇帝,慕容暐,慕容暐,360,1,-,370,11,-,约10年,继承,慕容儁之子，前燕亡</t>
  </si>
  <si>
    <t>东晋,6,-,哀皇帝,晋哀帝,司马丕,361,7,10,365,3,30,3年263天,继承,-</t>
  </si>
  <si>
    <t>前凉,9,-,-,张天锡,张天锡,363,8,-,376,8,-,约13年,政变,张骏少子，杀张玄靓自立，降于前秦</t>
  </si>
  <si>
    <t>东晋,7,-,-,海西公,司马奕,365,3,30,371,1,6,5年282天,继承,被废</t>
  </si>
  <si>
    <t>东晋,8,太宗,简文皇帝,晋简文帝,司马昱,371,1,6,372,9,12,1年249天,篡立,-</t>
  </si>
  <si>
    <t>东晋,9,烈宗,孝武皇帝,晋孝武帝,司马曜,372,9,12,396,11,6,24年55天,继承,-</t>
  </si>
  <si>
    <t>后燕,1,世祖,成武皇帝,慕容垂,慕容垂,384,1,-,396,4,-,约12年,复国,慕容皝第五子，386年称帝</t>
  </si>
  <si>
    <t>后秦,1,太祖,武昭皇帝,姚苌,姚苌,384,4,-,393,12,-,约9年,自立,羌族，杀苻坚</t>
  </si>
  <si>
    <t>前秦,5,-,哀平皇帝,苻丕,苻丕,385,8,-,386,10,-,约1年,继承,苻坚长子</t>
  </si>
  <si>
    <t>西秦,1,烈祖,宣烈王/武元王,乞伏国仁,乞伏国仁,385,9,-,388,6,-,约3年,自立,陇西鲜卑</t>
  </si>
  <si>
    <t>北魏,1,太祖,道武皇帝,魏道武帝,拓跋珪,386,2,20,409,11,6,23年260天,创业,重建代国，改称魏王</t>
  </si>
  <si>
    <t>前秦,6,太宗,高皇帝,苻登,苻登,386,10,-,394,7,-,约8年,继承,苻坚族孙</t>
  </si>
  <si>
    <t>后凉,1,太祖,懿武皇帝/景王,吕光,吕光,386,10,-,399,12,-,约13年,自立,氐族，386年称帝，后改称天王</t>
  </si>
  <si>
    <t>西秦,2,高祖,武元王,乞伏乾归,乞伏乾归,388,6,-,412,5,-,约24年,继承,乞伏国仁之弟</t>
  </si>
  <si>
    <t>后秦,2,高祖,文桓皇帝,姚兴,姚兴,394,1,-,416,2,-,约22年,继承,姚苌之子</t>
  </si>
  <si>
    <t>前秦,7,-,-,苻崇,苻崇,394,7,-,394,10,-,约3个月,继承,苻登之子，前秦亡</t>
  </si>
  <si>
    <t>后燕,2,烈宗,惠愍皇帝,慕容宝,慕容宝,396,4,-,398,4,-,约2年,继承,慕容垂第四子</t>
  </si>
  <si>
    <t>东晋,10,-,安皇帝,晋安帝,司马德宗,396,11,7,419,1,28,22年82天,继承,-</t>
  </si>
  <si>
    <t>南凉,1,烈祖,武王,秃发乌孤,秃发乌孤,397,1,-,399,-,-,约2年,自立,河西鲜卑</t>
  </si>
  <si>
    <t>北凉,1,-,-,段业,段业,397,5,-,401,5,-,约4年,拥立,被沮渠男成等拥立</t>
  </si>
  <si>
    <t>南燕,1,世宗,献武皇帝,慕容德,慕容德,398,1,-,405,10,-,约7年,自立,慕容皝幼子，400年称帝</t>
  </si>
  <si>
    <t>后燕,3,中宗,昭武皇帝,慕容盛,慕容盛,398,4,-,401,8,-,约3年,继承,慕容宝庶长子</t>
  </si>
  <si>
    <t>后凉,2,隐王,灵帝/隐王,吕绍,吕绍,399,12,-,399,12,-,约数天,继承,吕光嫡子</t>
  </si>
  <si>
    <t>后凉,3,-,-,吕纂,吕纂,399,12,-,401,2,-,约2年,政变,吕光庶长子</t>
  </si>
  <si>
    <t>南凉,2,-,康王,秃发利鹿孤,秃发利鹿孤,399,-,-,402,3,-,约3年,继承,秃发乌孤之弟</t>
  </si>
  <si>
    <t>西凉,1,太祖,武昭王,李暠,李暠,400,11,-,417,2,-,约17年,自立,汉族，李广后裔</t>
  </si>
  <si>
    <t>后凉,4,-,-,吕隆,吕隆,401,2,-,403,8,-,约2年,政变,吕光之侄，后凉亡</t>
  </si>
  <si>
    <t>北凉,2,太祖,武宣王,沮渠蒙逊,沮渠蒙逊,401,5,-,433,4,-,约32年,政变,匈奴族，杀段业自立</t>
  </si>
  <si>
    <t>后燕,4,-,昭文皇帝,慕容熙,慕容熙,401,8,-,407,7,-,约6年,继承,慕容垂少子</t>
  </si>
  <si>
    <t>南凉,3,-,景王,秃发傉檀,秃发傉檀,402,3,-,414,7,-,约12年,继承,秃发利鹿孤之弟，南凉亡</t>
  </si>
  <si>
    <t>南燕,2,-,-,慕容超,慕容超,405,10,-,410,2,-,约5年,继承,慕容德之侄，南燕亡</t>
  </si>
  <si>
    <t>大夏,1,世祖,武烈皇帝,赫连勃勃,赫连勃勃,407,6,-,425,8,-,约18年,自立,匈奴右贤王去卑之后，匈奴铁弗部，418年称帝</t>
  </si>
  <si>
    <t>北燕,1,-,惠懿皇帝,高云,高云,407,7,-,409,10,-,约2年,拥立,后燕惠愍帝慕容宝养子，被冯跋拥立</t>
  </si>
  <si>
    <t>北燕,2,太祖,文成皇帝,冯跋,冯跋,409,10,-,430,9,-,约21年,政变,409年平定叛乱后自立</t>
  </si>
  <si>
    <t>北魏,2,太宗,明元皇帝,魏明元帝,拓跋嗣,409,11,10,423,12,27,14年47天,继承,拓跋珪长子</t>
  </si>
  <si>
    <t>西秦,3,太祖,文昭王,乞伏炽磐,乞伏炽磐,412,5,-,428,5,-,约16年,继承,乞伏乾归长子</t>
  </si>
  <si>
    <t>后秦,3,-,-,姚泓,姚泓,416,2,-,417,8,-,约1年,继承,姚兴长子，后秦亡</t>
  </si>
  <si>
    <t>西凉,2,-,-,李歆,李歆,417,2,-,420,7,-,约3年,继承,李暠第二子</t>
  </si>
  <si>
    <t>东晋,11,-,恭皇帝,晋恭帝,司马德文,419,1,28,420,7,7,1年160天,继承,禅位于刘裕，东晋灭亡</t>
  </si>
  <si>
    <t>刘宋,1,高祖,武皇帝,宋武帝,刘裕,420,7,10,422,6,26,1年351天,受禅,受晋恭帝禅让</t>
  </si>
  <si>
    <t>西凉,3,-,-,李恂,李恂,420,7,-,421,3,-,约1年,继承,李暠第六子，西凉亡</t>
  </si>
  <si>
    <t>刘宋,2,-,少皇帝,宋少帝,刘义符,422,6,26,424,8,4,2年39天,继承,被废杀</t>
  </si>
  <si>
    <t>北魏,3,世祖,太武皇帝,魏太武帝,拓跋焘,423,12,27,452,3,11,29年74天,继承,拓跋嗣长子</t>
  </si>
  <si>
    <t>刘宋,3,太祖,文皇帝,宋文帝,刘义隆,424,8,4,453,3,16,28年224天,政变,被太子刘劭弑杀</t>
  </si>
  <si>
    <t>大夏,2,-,-,赫连昌,赫连昌,425,8,-,428,2,-,约3年,继承,赫连勃勃第三子</t>
  </si>
  <si>
    <t>大夏,3,-,-,赫连定,赫连定,428,2,-,431,6,-,约3年,继承,赫连勃勃第五子，大夏亡</t>
  </si>
  <si>
    <t>西秦,4,-,-,乞伏暮末,乞伏暮末,428,5,-,431,1,-,约3年,继承,乞伏炽磐次子，西秦亡</t>
  </si>
  <si>
    <t>北燕,3,-,昭成皇帝,冯弘,冯弘,430,9,-,436,5,-,约6年,政变,冯跋之弟，北燕亡</t>
  </si>
  <si>
    <t>北凉,3,-,哀王,沮渠牧犍,沮渠牧犍,433,4,-,439,9,-,约6年,继承,沮渠蒙逊第三子，北凉亡</t>
  </si>
  <si>
    <t>北魏,4,-,-,南安王,拓跋余,452,3,11,452,10,29,232天,政变,宦官宗爱弑拓跋焘后立</t>
  </si>
  <si>
    <t>北魏,5,高宗,文成皇帝,魏文成帝,拓跋濬,452,10,29,465,6,21,12年235天,政变,源贺等诛宗爱后立</t>
  </si>
  <si>
    <t>刘宋,4,-,元凶,-,刘劭,453,3,16,453,5,27,72天,弑君篡位,弑父刘义隆自立</t>
  </si>
  <si>
    <t>刘宋,5,世祖,孝武皇帝,宋孝武帝,刘骏,453,5,27,464,7,12,11年46天,政变,-</t>
  </si>
  <si>
    <t>刘宋,6,-,前废帝,-,刘子业,464,7,12,466,1,1,1年173天,继承,被弑</t>
  </si>
  <si>
    <t>北魏,6,显祖,献文皇帝,魏献文帝,拓跋弘,465,6,21,471,8,20,6年60天,继承,拓跋濬长子</t>
  </si>
  <si>
    <t>刘宋,7,太宗,明皇帝,宋明帝,刘彧,466,1,1,472,5,10,6年130天,政变,-</t>
  </si>
  <si>
    <t>北魏,7,高祖,孝文皇帝,魏孝文帝,元宏,471,9,20,499,4,26,27年218天,继承,拓跋弘长子，改汉姓</t>
  </si>
  <si>
    <t>刘宋,8,-,后废帝,-,刘昱,472,5,10,477,8,1,5年83天,继承,被弑</t>
  </si>
  <si>
    <t>刘宋,9,-,顺皇帝,宋顺帝,刘准,477,8,1,479,6,1,1年304天,政变,被迫禅让于萧道成</t>
  </si>
  <si>
    <t>南齐,1,太祖,高皇帝,齐高帝,萧道成,479,6,1,482,4,11,2年314天,受禅,受宋顺帝禅让</t>
  </si>
  <si>
    <t>南齐,2,世祖,武皇帝,齐武帝,萧赜,482,4,11,493,9,30,11年172天,继承,-</t>
  </si>
  <si>
    <t>南齐,3,-,郁林王,-,萧昭业,493,9,30,494,8,5,309天,继承,被废杀</t>
  </si>
  <si>
    <t>南齐,4,-,海陵王,-,萧昭文,494,8,5,494,11,23,110天,政变,被废杀</t>
  </si>
  <si>
    <t>南齐,5,高宗,明皇帝,齐明帝,萧鸾,494,11,23,498,9,1,3年282天,篡位,-</t>
  </si>
  <si>
    <t>南齐,6,-,炀皇帝/东昏侯,-,萧宝卷,498,9,1,501,12,31,3年121天,继承,被弑</t>
  </si>
  <si>
    <t>北魏,8,世宗,宣武皇帝,魏宣武帝,元恪,499,4,26,515,2,12,15年292天,继承,元宏次子</t>
  </si>
  <si>
    <t>南齐,7,-,和皇帝,齐和帝,萧宝融,501,12,31,502,5,26,1年146天,政变,被迫禅让于萧衍</t>
  </si>
  <si>
    <t>南梁,1,高祖,武皇帝,梁武帝,萧衍,502,5,26,549,6,12,47年17天,受禅,受齐和帝禅让，侯景之乱中被困饿死</t>
  </si>
  <si>
    <t>北魏,9,肃宗,孝明皇帝,魏孝明帝,元诩,515,2,12,528,3,31,13年47天,继承,元恪次子</t>
  </si>
  <si>
    <t>北魏,10,-,孝庄皇帝,魏孝庄帝,元子攸,528,4,9,530,12,26,2年261天,政变,尔朱荣所立</t>
  </si>
  <si>
    <t>北魏,11,-,-,长广王,元晔,530,12,26,531,3,31,95天,篡立,尔朱兆所立</t>
  </si>
  <si>
    <t>北魏,12,-,节闵皇帝,魏节闵帝,元恭,531,4,1,531,12,31,275天,篡立,尔朱世隆所立</t>
  </si>
  <si>
    <t>北魏,13,-,-,安定王,元朗,531,10,30,532,6,13,227天,篡立,高欢所立</t>
  </si>
  <si>
    <t>北魏,14,-,孝武皇帝,魏孝武帝,元修,532,6,13,534,11,8,2年148天,篡立,高欢废元朗后立</t>
  </si>
  <si>
    <t>东魏,1,-,孝静皇帝,东魏孝静帝,元善见,534,11,8,550,6,9,15年213天,篡立,高欢立，北魏分裂</t>
  </si>
  <si>
    <t>西魏,1,-,文皇帝,西魏文帝,元宝炬,535,2,18,551,3,28,16年38天,篡立,宇文泰所立</t>
  </si>
  <si>
    <t>南梁,2,太宗,简文皇帝,梁简文帝,萧纲,549,6,12,551,10,2,2年112天,篡立,侯景所立，后被废杀</t>
  </si>
  <si>
    <t>北齐,1,显祖,文宣皇帝,北齐文宣帝,高洋,550,6,9,559,11,25,9年169天,受禅,受东魏孝静帝禅让</t>
  </si>
  <si>
    <t>西魏,2,-,-,西魏废帝,元钦,551,3,28,554,2,3,2年312天,继承,元宝炬长子</t>
  </si>
  <si>
    <t>南梁,3,-,豫章王,-,萧栋,551,10,2,552,1,1,91天,篡立,侯景所立，后被废</t>
  </si>
  <si>
    <t>南梁,4,世祖,孝元皇帝,梁元帝,萧绎,552,1,1,555,1,27,2年362天,创业,平定侯景之乱后即位，被西魏擒杀</t>
  </si>
  <si>
    <t>西魏,3,-,恭皇帝,西魏恭帝,拓跋廓,554,2,3,557,2,15,3年12天,篡立,宇文泰废元钦后立</t>
  </si>
  <si>
    <t>南梁,5,-,贞阳侯/闵帝,-,萧渊明,555,5,31,555,10,29,151天,篡立,北齐扶植，后被废</t>
  </si>
  <si>
    <t>南梁,6,-,敬皇帝,梁敬帝,萧方智,555,10,29,557,11,16,1年353天,政变,陈霸先所立，后被迫禅让</t>
  </si>
  <si>
    <t>北周,1,-,孝闵皇帝,北周孝闵帝,宇文觉,557,2,15,557,9,28,225天,受禅,受西魏恭帝禅让</t>
  </si>
  <si>
    <t>北周,2,世宗,明皇帝,北周明帝,宇文毓,557,9,28,560,5,31,2年246天,政变,宇文护废宇文觉后立</t>
  </si>
  <si>
    <t>南陈,1,高祖,武皇帝,陈武帝,陈霸先,557,11,16,559,8,9,1年266天,受禅,受梁敬帝禅让</t>
  </si>
  <si>
    <t>南陈,2,世祖,文皇帝,陈文帝,陈蒨,559,8,9,566,5,31,6年295天,继承,-</t>
  </si>
  <si>
    <t>北齐,2,-,-,北齐废帝,高殷,559,11,25,560,9,8,288天,继承,高洋长子</t>
  </si>
  <si>
    <t>北周,3,高祖,武皇帝,北周武帝,宇文邕,560,5,31,578,6,21,18年21天,继承,宇文泰第四子</t>
  </si>
  <si>
    <t>北齐,3,肃宗,孝昭皇帝,北齐孝昭帝,高演,560,9,8,561,12,3,1年86天,政变,废高殷自立</t>
  </si>
  <si>
    <t>北齐,4,世祖,武成皇帝,北齐武成帝,高湛,561,12,3,565,6,8,3年187天,继承,高欢第九子</t>
  </si>
  <si>
    <t>北齐,5,-,-,北齐后主,高纬,565,6,8,577,2,28,11年265天,继承,高湛长子</t>
  </si>
  <si>
    <t>南陈,3,-,临海王/废帝,-,陈伯宗,566,5,31,568,2,5,1年250天,继承,被废</t>
  </si>
  <si>
    <t>南陈,4,高宗,孝宣皇帝,陈宣帝,陈顼,568,2,5,582,2,17,14年12天,篡位,-</t>
  </si>
  <si>
    <t>北齐,6,-,-,北齐幼主,高恒,577,1,3,577,2,28,56天,禅让,高纬禅位，北齐亡</t>
  </si>
  <si>
    <t>北周,4,-,宣皇帝,北周宣帝,宇文赟,578,6,21,579,4,1,284天,继承,宇文邕长子</t>
  </si>
  <si>
    <t>北周,5,-,静皇帝,北周静帝,宇文衍,579,4,1,581,3,4,1年338天,继承,宇文赟长子，禅位于杨坚</t>
  </si>
  <si>
    <t>隋朝,1,高祖,文皇帝,隋文帝,杨坚,581,3,4,604,8,13,23年162天,受禅,受北周静帝禅让</t>
  </si>
  <si>
    <t>南陈,5,-,炀皇帝/后主,陈后主,陈叔宝,582,2,17,589,2,10,6年358天,继承,隋灭陈，被俘</t>
  </si>
  <si>
    <t>隋朝,2,世祖,炀皇帝,隋炀帝,杨广,604,7,21,618,4,11,13年265天,继承,隋文帝次子</t>
  </si>
  <si>
    <t>隋朝,3,-,恭皇帝,隋恭帝,杨侑,617,10,14,618,6,18,248天,篡立,李渊立为傀儡，后禅让李渊</t>
  </si>
  <si>
    <t>隋朝,4,-,-,隋秦王,杨浩,618,4,11,618,9,5,147天,篡立,宇文化及立为傀儡</t>
  </si>
  <si>
    <t>唐朝,1,高祖,神尧大圣大光孝皇帝,唐高祖,李渊,618,6,18,626,9,4,8年78天,受禅,受隋恭帝禅让</t>
  </si>
  <si>
    <t>隋朝,5,-,恭皇帝,皇泰主,杨侗,618,6,22,619,5,23,335天,继承,隋炀帝之孙，王世充立，后被迫禅位</t>
  </si>
  <si>
    <t>唐朝,2,太宗,文武大圣大广孝皇帝,唐太宗,李世民,626,9,4,649,7,10,22年309天,政变,玄武门之变后即位</t>
  </si>
  <si>
    <t>唐朝,3,高宗,天皇大圣大弘孝皇帝,唐高宗,李治,649,7,15,683,12,27,34年165天,继承,唐太宗第九子</t>
  </si>
  <si>
    <t>唐朝,4,中宗,大和大圣大昭孝皇帝,唐中宗,李显,684,1,3,684,2,26,54天,继承,唐高宗第七子，第一次在位</t>
  </si>
  <si>
    <t>唐朝,5,睿宗,玄真大圣大兴孝皇帝,唐睿宗,李旦,684,2,27,690,10,16,6年231天,继承,唐高宗第八子，第一次在位</t>
  </si>
  <si>
    <t>武周,1,-,则天顺圣皇后/则天大圣皇帝,武则天,武曌,690,10,16,705,2,21,14年128天,革命,废唐建周，中国唯一正统女皇帝</t>
  </si>
  <si>
    <t>唐朝,6,中宗,大和大圣大昭孝皇帝,唐中宗,李显,705,2,23,710,7,3,5年130天,复辟,神龙革命后复位，第二次在位</t>
  </si>
  <si>
    <t>唐朝,7,-,殇皇帝,唐殇帝,李重茂,710,7,8,710,7,25,17天,继承,唐中宗第四子</t>
  </si>
  <si>
    <t>唐朝,8,睿宗,玄真大圣大兴孝皇帝,唐睿宗,李旦,710,7,25,712,9,8,2年45天,政变,唐隆政变后复位，第二次在位</t>
  </si>
  <si>
    <t>唐朝,9,玄宗,至道大圣大明孝皇帝,唐玄宗,李隆基,712,9,8,756,8,1,43年328天,继承,唐睿宗第三子</t>
  </si>
  <si>
    <t>唐朝,10,肃宗,文明武德大圣大宣孝皇帝,唐肃宗,李亨,756,8,12,762,5,16,5年277天,自立,安史之乱中于灵武自立</t>
  </si>
  <si>
    <t>唐朝,11,代宗,睿文孝武皇帝,唐代宗,李豫,762,5,18,779,6,10,17年23天,继承,唐肃宗长子</t>
  </si>
  <si>
    <t>唐朝,12,德宗,神武孝文皇帝,唐德宗,李适,779,6,12,805,2,25,25年258天,继承,唐代宗长子</t>
  </si>
  <si>
    <t>唐朝,13,顺宗,至德大圣大安孝皇帝,唐顺宗,李诵,805,2,28,805,9,5,190天,继承,唐德宗长子</t>
  </si>
  <si>
    <t>唐朝,14,宪宗,昭文章武大圣至神孝皇帝,唐宪宗,李纯,805,9,5,820,2,14,14年162天,继承,唐顺宗长子</t>
  </si>
  <si>
    <t>唐朝,15,穆宗,睿圣文惠孝皇帝,唐穆宗,李恒,820,2,20,824,2,25,4年5天,继承,唐宪宗第三子</t>
  </si>
  <si>
    <t>唐朝,16,敬宗,睿武昭愍孝皇帝,唐敬宗,李湛,824,2,29,827,1,9,2年315天,继承,唐穆宗长子</t>
  </si>
  <si>
    <t>唐朝,17,文宗,元圣昭献孝皇帝,唐文宗,李昂,827,1,13,840,2,10,13年28天,继承,唐穆宗次子</t>
  </si>
  <si>
    <t>唐朝,18,武宗,至道昭肃孝皇帝,唐武宗,李炎,840,2,20,846,4,22,6年61天,继承,唐穆宗第五子</t>
  </si>
  <si>
    <t>唐朝,19,宣宗,元圣至明成武献文睿智章仁神聪懿道大孝皇帝,唐宣宗,李忱,846,4,22,859,9,10,13年141天,继承,唐宪宗第十三子</t>
  </si>
  <si>
    <t>唐朝,20,懿宗,昭圣恭惠孝皇帝,唐懿宗,李漼,859,9,10,873,8,15,13年339天,继承,唐宣宗长子</t>
  </si>
  <si>
    <t>唐朝,21,僖宗,惠圣恭定孝皇帝,唐僖宗,李儇,873,8,16,888,4,20,14年248天,继承,唐懿宗第五子</t>
  </si>
  <si>
    <t>唐朝,22,昭宗,圣穆景文孝皇帝,唐昭宗,李晔,888,4,22,904,9,22,16年153天,继承,唐懿宗第七子</t>
  </si>
  <si>
    <t>吴,1,太祖,武皇帝,吴武帝,杨行密,902,3,12,905,11,24,3年257天,割据,唐封吴王，奠定吴国基业</t>
  </si>
  <si>
    <t>唐朝,23,景宗/哀帝,昭宣光烈孝皇帝,唐景宗/唐哀帝,李柷,904,9,26,907,5,12,2年228天,继承,唐昭宗第九子，禅位于朱温，唐朝亡</t>
  </si>
  <si>
    <t>吴,2,烈祖,景皇帝,吴景帝,杨渥,905,11,24,908,6,9,2年197天,继承,杨行密长子</t>
  </si>
  <si>
    <t>辽朝,1,太祖,大圣大明神烈天皇帝,辽太祖,耶律阿保机,907,3,17,926,9,6,19年173天,自立,契丹可汗，建国称帝</t>
  </si>
  <si>
    <t>后梁,1,太祖,神武元圣孝皇帝,梁太祖,朱温,907,6,1,912,7,18,5年47天,受禅,受唐哀帝禅让</t>
  </si>
  <si>
    <t>吴越,1,-,武肃王,钱镠,钱镠,907,6,7,932,5,6,24年333天,割据,后梁封吴越王</t>
  </si>
  <si>
    <t>前蜀,1,高祖,神武圣文孝德明惠皇帝,蜀高祖,王建,907,9,3,918,7,11,10年311天,自立,唐亡后于成都称帝</t>
  </si>
  <si>
    <t>吴,3,高祖,宣皇帝,吴宣帝,杨隆演,908,6,9,920,6,17,12年8天,继承,杨行密次子</t>
  </si>
  <si>
    <t>后梁,2,-,-,梁郢王,朱友珪,912,7,18,913,3,27,252天,弑君篡位,弑父继位</t>
  </si>
  <si>
    <t>后梁,3,-,-,梁末帝,朱友贞,913,3,27,923,11,18,10年236天,政变,杀朱友珪夺位</t>
  </si>
  <si>
    <t>前蜀,2,-,-,前蜀后主,王衍,918,7,11,925,12,15,7年157天,继承,降后唐</t>
  </si>
  <si>
    <t>吴,4,-,睿皇帝,吴睿帝,杨溥,920,6,17,937,11,10,17年146天,继承,杨行密第四子</t>
  </si>
  <si>
    <t>后唐,1,庄宗,光圣神闵孝皇帝,唐庄宗,李存勖,923,5,13,926,4,20,2年342天,继承,于魏州称帝，灭后梁</t>
  </si>
  <si>
    <t>后唐,2,明宗,圣德和武钦孝皇帝,唐明宗,李嗣源,926,5,2,933,12,15,7年227天,政变,兵变后即位</t>
  </si>
  <si>
    <t>辽朝,2,太宗,孝武惠文皇帝,辽太宗,耶律德光,927,12,11,947,5,15,19年155天,继承,辽太祖次子</t>
  </si>
  <si>
    <t>后唐,3,-,闵皇帝,唐闵帝,李从厚,933,12,15,934,5,9,145天,继承,李嗣源第三子</t>
  </si>
  <si>
    <t>后蜀,1,高祖,文武圣德英烈明孝皇帝,蜀高祖,孟知祥,934,2,16,934,9,7,204天,自立,于成都称帝</t>
  </si>
  <si>
    <t>后唐,4,-,-,唐末帝,李从珂,934,5,9,937,1,11,2年247天,政变,废李从厚自立</t>
  </si>
  <si>
    <t>后蜀,2,-,-,后蜀后主,孟昶,934,9,7,965,2,23,30年169天,继承,孟知祥第三子，降宋</t>
  </si>
  <si>
    <t>后晋,1,高祖,圣文章武明德孝皇帝,晋高祖,石敬瑭,936,11,28,942,7,28,5年242天,篡位,借契丹兵灭后唐，受册封称帝</t>
  </si>
  <si>
    <t>南唐,1,烈祖,光文肃武孝高皇帝,唐烈祖,李昪,937,11,10,943,3,30,5年140天,受禅,废吴帝杨溥自立</t>
  </si>
  <si>
    <t>后晋,2,-,-,晋出帝,石重贵,942,7,28,947,1,11,4年167天,继承,石敬瑭之侄</t>
  </si>
  <si>
    <t>南唐,2,元宗,明道崇德文宣孝皇帝,唐元宗,李璟,943,3,30,961,8,12,18年135天,继承,李昪长子</t>
  </si>
  <si>
    <t>后汉,1,高祖,睿文圣武昭肃孝皇帝,汉高祖,刘知远,947,3,10,948,3,10,1年0天,自立,后晋亡后于太原称帝</t>
  </si>
  <si>
    <t>辽朝,3,世宗,孝和庄宪皇帝,辽世宗,耶律阮,947,5,16,951,10,7,4年144天,自立,辽太祖长孙，耶律倍之子</t>
  </si>
  <si>
    <t>后汉,2,-,隐皇帝,汉隐帝,刘承祐,948,3,10,950,11,22,2年257天,继承,刘知远次子</t>
  </si>
  <si>
    <t>后周,1,太祖,圣神恭肃文武孝皇帝,周太祖,郭威,951,2,13,954,2,22,3年9天,受禅,废后汉建立后周</t>
  </si>
  <si>
    <t>辽朝,4,穆宗,孝安敬正皇帝,辽穆宗,耶律璟,951,10,11,969,3,12,17年152天,继承,辽太宗长子</t>
  </si>
  <si>
    <t>后周,2,世宗,睿武孝文皇帝,周世宗,柴荣,954,2,22,959,7,27,5年155天,继承,郭威内侄兼养子</t>
  </si>
  <si>
    <t>后周,3,-,恭皇帝,周恭帝,柴宗训,959,7,27,960,2,3,191天,继承,柴荣第四子</t>
  </si>
  <si>
    <t>北宋,1,太祖,启运立极英武睿文神德圣功至明大孝皇帝,宋太祖,赵匡胤,960,2,4,976,11,14,16年284天,受禅,陈桥兵变，受后周恭帝禅让</t>
  </si>
  <si>
    <t>南唐,3,-,-,李后主,李煜,961,8,12,976,1,1,14年142天,继承,降宋，南唐亡</t>
  </si>
  <si>
    <t>辽朝,5,景宗,孝成康靖皇帝,辽景宗,耶律贤,969,3,13,982,10,13,13年214天,继承,辽世宗次子</t>
  </si>
  <si>
    <t>北宋,2,太宗,至仁应道神功圣德文武睿烈大明广孝皇帝,宋太宗,赵炅,976,11,15,997,5,8,20年174天,继承,宋太祖之弟</t>
  </si>
  <si>
    <t>辽朝,6,圣宗,文武大孝宣皇帝,辽圣宗,耶律隆绪,982,10,14,1031,6,25,48年254天,继承,辽景宗长子</t>
  </si>
  <si>
    <t>北宋,3,真宗,赝符稽古神功让德文明武定章圣元孝皇帝,宋真宗,赵恒,997,5,8,1022,3,23,24年319天,继承,宋太宗第三子</t>
  </si>
  <si>
    <t>北宋,4,仁宗,体天法道极功全德神文圣武睿哲明孝皇帝,宋仁宗,赵祯,1022,3,23,1063,4,30,41年38天,继承,宋真宗第六子</t>
  </si>
  <si>
    <t>辽朝,7,兴宗,神圣孝章皇帝,辽兴宗,耶律宗真,1031,6,26,1055,8,28,24年63天,继承,辽圣宗长子</t>
  </si>
  <si>
    <t>辽朝,8,道宗,仁圣大孝文皇帝,辽道宗,耶律洪基,1055,8,29,1101,2,12,45年168天,继承,辽兴宗长子</t>
  </si>
  <si>
    <t>北宋,5,英宗,体乾应历隆功盛德宪文肃武睿神宣孝皇帝,宋英宗,赵曙,1063,5,1,1067,1,8,3年252天,继承,宋太宗曾孙，濮安懿王赵允让第十三子</t>
  </si>
  <si>
    <t>北宋,6,神宗,绍天法古运德建功英文烈武钦仁圣孝皇帝,宋神宗,赵顼,1067,1,9,1085,4,1,18年82天,继承,宋英宗长子</t>
  </si>
  <si>
    <t>北宋,7,哲宗,宪元继道显德定功钦文睿武齐圣昭孝皇帝,宋哲宗,赵煦,1085,4,1,1100,2,23,14年328天,继承,宋神宗第六子</t>
  </si>
  <si>
    <t>北宋,8,徽宗,体神合道骏烈逊功圣文仁德宪慈显孝皇帝,宋徽宗,赵佶,1100,2,24,1126,1,18,25年329天,继承,宋神宗第十一子，宋哲宗之弟</t>
  </si>
  <si>
    <t>辽朝,9,-,天祚皇帝,辽天祚帝,耶律延禧,1101,2,13,1125,3,26,24年41天,继承,辽道宗之孙</t>
  </si>
  <si>
    <t>金朝,1,太祖,应乾兴运昭德定功仁明庄孝大圣武元皇帝,金太祖,完颜阿骨打,1115,1,28,1123,9,19,8年234天,自立,统一女真各部，建金灭辽</t>
  </si>
  <si>
    <t>金朝,2,太宗,体元应运世德昭功哲惠仁圣文烈皇帝,金太宗,完颜吴乞买,1123,9,20,1135,2,9,11年142天,继承,金太祖之弟</t>
  </si>
  <si>
    <t>北宋,9,钦宗,恭文顺德仁孝皇帝,宋钦宗,赵桓,1126,1,19,1127,3,20,1年60天,继承,宋徽宗长子</t>
  </si>
  <si>
    <t>南宋,1,高宗,受命中兴全功至德圣神武文昭仁宪孝皇帝,宋高宗,赵构,1127,6,12,1162,7,24,35年42天,自立,宋徽宗第九子，北宋灭亡后于应天府即位</t>
  </si>
  <si>
    <t>金朝,3,熙宗,弘基缵武庄靖孝成皇帝,金熙宗,完颜亶,1135,2,10,1150,1,9,14年334天,继承,金太祖嫡孙</t>
  </si>
  <si>
    <t>金朝,4,-,海陵王/炀皇帝,金海陵王,完颜亮,1150,1,10,1161,12,15,11年339天,政变,弑君篡位，南征失败被杀</t>
  </si>
  <si>
    <t>金朝,5,世宗,光天兴运文德武功圣明仁孝皇帝,金世宗,完颜雍,1161,12,16,1189,1,20,27年35天,自立,金太祖之孙，东京辽阳府即位</t>
  </si>
  <si>
    <t>南宋,2,孝宗,绍统同道冠德昭功哲文神武明圣成孝皇帝,宋孝宗,赵昚,1162,7,24,1189,2,18,26年209天,受禅,宋太祖七世孙，宋高宗养子，受内禅</t>
  </si>
  <si>
    <t>金朝,6,章宗,宪天光运仁文义武神圣英孝皇帝,金章宗,完颜璟,1189,1,21,1208,12,29,19年342天,继承,金世宗嫡孙</t>
  </si>
  <si>
    <t>南宋,3,光宗,循道宪仁明功茂德温文顺武圣哲慈孝皇帝,宋光宗,赵惇,1189,2,18,1194,7,24,5年156天,受禅,宋孝宗第三子，受内禅</t>
  </si>
  <si>
    <t>南宋,4,宁宗,法天备道纯德茂功仁文哲武圣睿恭孝皇帝,宋宁宗,赵扩,1194,7,24,1224,9,18,30年56天,受禅,宋光宗第二子，受内禅</t>
  </si>
  <si>
    <t>金朝,7,-,卫绍王,金卫绍王,完颜永济,1208,12,30,1213,9,11,4年255天,继承,金世宗第七子</t>
  </si>
  <si>
    <t>金朝,8,宣宗,继天兴统述道勤仁英武圣孝皇帝,金宣宗,完颜珣,1213,9,12,1224,1,14,10年124天,政变,金世宗之孙，胡沙虎政变后拥立</t>
  </si>
  <si>
    <t>金朝,9,哀宗,敬天德运忠文靖武天圣烈孝庄皇帝,金哀宗,完颜守绪,1224,1,15,1234,2,9,10年25天,继承,金宣宗第三子</t>
  </si>
  <si>
    <t>南宋,5,理宗,建道备德大功复兴烈文仁武圣明安孝皇帝,宋理宗,赵昀,1224,9,18,1264,11,16,40年59天,政变,宋太祖十世孙，权臣史弥远拥立</t>
  </si>
  <si>
    <t>金朝,10,-,-,金末帝,完颜承麟,1234,2,9,1234,2,9,1天,受禅,金哀宗禅让，城破死于乱军</t>
  </si>
  <si>
    <t>元朝,1,世祖,圣德神功文武皇帝,元世祖,忽必烈,1260,5,5,1294,2,18,33年289天,自立,称帝于开平，建元中统</t>
  </si>
  <si>
    <t>南宋,6,度宗,端文明武景孝皇帝,宋度宗,赵禥,1264,11,16,1274,8,12,9年269天,继承,宋理宗之侄</t>
  </si>
  <si>
    <t>南宋,7,-,孝恭懿圣皇帝,宋恭帝,赵㬎,1274,8,12,1276,2,4,1年176天,继承,宋度宗次子</t>
  </si>
  <si>
    <t>南宋,8,端宗,裕文昭武愍孝皇帝,宋端宗,赵昰,1276,6,14,1278,5,8,1年328天,自立,宋度宗长子，南宋流亡朝廷</t>
  </si>
  <si>
    <t>南宋,9,-,恭皇帝/幼主,宋怀宗,赵昺,1278,5,10,1279,3,19,313天,继承,宋度宗第三子，崖山海战后南宋灭亡</t>
  </si>
  <si>
    <t>元朝,2,成宗,钦明广孝皇帝,元成宗,铁穆耳,1294,5,10,1307,2,10,12年276天,继承,元世祖之孙，真金太子第三子</t>
  </si>
  <si>
    <t>元朝,3,武宗,仁惠宣孝皇帝,元武宗,海山,1307,6,21,1311,1,27,3年220天,继承,元成宗之侄，答剌麻八剌之子</t>
  </si>
  <si>
    <t>元朝,4,仁宗,圣文钦孝皇帝,元仁宗,爱育黎拔力八达,1311,4,7,1320,3,1,8年329天,继承,元武宗之弟</t>
  </si>
  <si>
    <t>元朝,5,英宗,睿圣文孝皇帝,元英宗,硕德八剌,1320,4,19,1323,9,4,3年138天,继承,元仁宗嫡子</t>
  </si>
  <si>
    <t>元朝,6,-,-,泰定帝,也孙铁木儿,1323,10,4,1328,8,15,4年316天,政变,元世祖曾孙，晋王，南坡之变后即位</t>
  </si>
  <si>
    <t>元朝,7,-,-,天顺帝,阿剌吉八,1328,10,3,1328,11,14,42天,继承,泰定帝之子</t>
  </si>
  <si>
    <t>元朝,8,文宗,圣明元孝皇帝,元文宗,图帖睦尔,1328,10,16,1332,9,2,3年321天,政变,元武宗次子，两都之战后即位</t>
  </si>
  <si>
    <t>元朝,9,明宗,翼献景孝皇帝,元明宗,和世㻋,1329,2,27,1329,8,30,184天,继承,元武宗长子</t>
  </si>
  <si>
    <t>元朝,10,宁宗,冲圣嗣孝皇帝,元宁宗,懿璘质班,1332,10,23,1332,12,14,52天,继承,元明宗次子</t>
  </si>
  <si>
    <t>元朝,11,惠宗,顺皇帝（明太祖谥）,元顺帝,妥懽帖睦尔,1333,7,19,1370,5,23,36年308天,继承,元明宗长子，明军攻陷大都后北撤</t>
  </si>
  <si>
    <t>明朝,1,太祖,开天行道肇纪立极大圣至神仁文义武俊德成功高皇帝,明太祖,朱元璋,1368,1,23,1398,6,24,30年152天,创业,-</t>
  </si>
  <si>
    <t>明朝,2,惠宗,嗣天章道诚懿渊功观文扬武克仁笃孝让皇帝,明惠帝,朱允炆,1398,6,30,1402,7,13,4年13天,继承,朱元璋之孙</t>
  </si>
  <si>
    <t>明朝,3,成祖,启天弘道高明肇运圣武神功纯仁至孝文皇帝,明成祖,朱棣,1402,7,13,1424,8,12,22年30天,政变,朱元璋第四子</t>
  </si>
  <si>
    <t>明朝,4,仁宗,敬天体道纯诚至德弘文钦武章圣达孝昭皇帝,明仁宗,朱高炽,1424,8,12,1425,5,29,290天,继承,朱棣长子</t>
  </si>
  <si>
    <t>明朝,5,宣宗,宪天崇道英明神圣钦文昭武宽仁纯孝章皇帝,明宣宗,朱瞻基,1425,5,29,1435,1,31,9年247天,继承,朱高炽长子</t>
  </si>
  <si>
    <t>明朝,6,英宗,法天立道仁明诚敬昭文宪武至德广孝睿皇帝,明英宗,朱祁镇,1435,1,31,1449,9,1,14年213天,继承,朱瞻基长子</t>
  </si>
  <si>
    <t>明朝,7,代宗,符天建道恭仁康定隆文布武显德崇孝景皇帝,明代宗,朱祁钰,1449,9,22,1457,2,11,7年142天,政变,朱瞻基次子</t>
  </si>
  <si>
    <t>明朝,8,英宗,法天立道仁明诚敬昭文宪武至德广孝睿皇帝,明英宗,朱祁镇,1457,2,11,1464,2,23,7年12天,复辟,第二次在位</t>
  </si>
  <si>
    <t>明朝,9,宪宗,继天凝道诚明仁敬崇文肃武宏德圣孝纯皇帝,明宪宗,朱见深,1464,2,23,1487,9,9,23年198天,继承,朱祁镇长子</t>
  </si>
  <si>
    <t>明朝,10,孝宗,达天明道纯诚中正圣文神武至仁大德敬皇帝,明孝宗,朱祐樘,1487,9,9,1505,6,8,17年272天,继承,朱见深第三子</t>
  </si>
  <si>
    <t>明朝,11,武宗,承天达道英肃睿哲昭德显功弘文思孝毅皇帝,明武宗,朱厚照,1505,6,8,1521,4,20,15年316天,继承,朱祐樘长子</t>
  </si>
  <si>
    <t>明朝,12,世宗,钦天履道英毅神圣宣文广武洪仁大孝肃皇帝,明世宗,朱厚熜,1521,4,20,1567,1,23,45年278天,继承,朱祐樘之侄</t>
  </si>
  <si>
    <t>明朝,13,穆宗,契天隆道渊懿宽仁显文光武纯德弘孝庄皇帝,明穆宗,朱载坖,1567,1,23,1572,7,5,5年163天,继承,朱厚熜第三子</t>
  </si>
  <si>
    <t>明朝,14,神宗,范天合道哲肃敦简光文章武安仁止孝显皇帝,明神宗,朱翊钧,1572,7,5,1620,8,18,48年44天,继承,朱载坖第三子</t>
  </si>
  <si>
    <t>清朝,1,太祖,承天广运圣德神功肇纪立极仁孝睿武端毅钦安弘文定业高皇帝,清太祖,努尔哈赤,1616,2,17,1626,9,30,10年225天,创业,后金大汗，追尊为帝</t>
  </si>
  <si>
    <t>明朝,15,光宗,崇天契道英睿恭纯宪文景武渊仁懿孝贞皇帝,明光宗,朱常洛,1620,8,28,1620,9,26,29天,继承,朱翊钧长子</t>
  </si>
  <si>
    <t>明朝,16,熹宗,达天阐道敦孝笃友章文襄武靖穆庄勤悊皇帝,明熹宗,朱由校,1620,10,1,1627,9,30,6年364天,继承,朱常洛长子</t>
  </si>
  <si>
    <t>清朝,2,太宗,应天兴国弘德彰武宽温仁圣睿孝敬敏昭定隆道显功文皇帝,清太宗,皇太极,1626,10,20,1643,9,21,16年336天,继承,努尔哈赤第八子</t>
  </si>
  <si>
    <t>明朝,17,思宗,绍天绎道刚明恪俭揆文奋武敦仁懋孝烈皇帝,明思宗,朱由检,1627,10,2,1644,4,25,16年206天,继承,朱常洛第五子</t>
  </si>
  <si>
    <t>清朝,3,世祖,体天隆运定统建极英睿钦文显武大德弘功至仁纯孝章皇帝,清世祖,福临,1643,10,8,1661,2,5,17年120天,继承,皇太极第九子</t>
  </si>
  <si>
    <t>清朝,4,圣祖,合天弘运文武睿哲恭俭宽裕孝敬诚信中和功德大成仁皇帝,清圣祖,玄烨,1661,2,7,1722,12,20,61年316天,继承,福临第三子</t>
  </si>
  <si>
    <t>清朝,5,世宗,敬天昌运建中表正文武英明宽仁信毅睿圣大孝至诚宪皇帝,清世宗,胤禛,1722,12,27,1735,10,8,12年285天,继承,玄烨第四子</t>
  </si>
  <si>
    <t>清朝,6,高宗,法天隆运至诚先觉体元立极敷文奋武钦明孝慈神圣纯皇帝,清高宗,弘历,1735,10,18,1796,2,9,60年115天,继承,胤禛第四子</t>
  </si>
  <si>
    <t>清朝,7,仁宗,受天兴运敷化绥猷崇文经武光裕孝恭勤俭端敏英哲睿皇帝,清仁宗,颙琰,1796,2,9,1820,9,2,24年206天,受禅,弘历第十五子</t>
  </si>
  <si>
    <t>清朝,8,宣宗,效天符运立中体正至文圣武智勇仁慈俭勤孝敏宽定成皇帝,清宣宗,旻宁,1820,10,3,1850,2,26,29年146天,继承,颙琰次子</t>
  </si>
  <si>
    <t>清朝,9,文宗,协天翊运执中垂谟懋德振武圣孝渊恭端仁宽敏庄俭显皇帝,清文宗,奕詝,1850,3,9,1861,8,22,11年166天,继承,旻宁第四子</t>
  </si>
  <si>
    <t>清朝,10,穆宗,继天开运受中居正保大定功圣智诚孝信敏恭宽明肃毅皇帝,清穆宗,载淳,1861,11,11,1875,1,12,13年62天,继承,奕詝长子</t>
  </si>
  <si>
    <t>清朝,11,德宗,同天崇运大中至正经文纬武仁孝睿智端俭宽勤景皇帝,清德宗,载湉,1875,2,25,1908,11,14,33年263天,继承,奕詝之侄</t>
  </si>
  <si>
    <t>清朝,12,-,-,清逊帝,溥仪,1908,12,2,1912,2,12,3年72天,继承,载湉之侄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</si>
</sst>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0"/>
    <col customWidth="1" min="2" max="2" width="4.38"/>
    <col customWidth="1" min="3" max="3" width="8.13"/>
    <col customWidth="1" min="4" max="4" width="46.0"/>
    <col customWidth="1" min="5" max="5" width="11.5"/>
    <col customWidth="1" min="6" max="6" width="12.63"/>
    <col customWidth="1" min="7" max="12" width="7.63"/>
    <col customWidth="1" min="13" max="13" width="9.0"/>
    <col customWidth="1" min="14" max="14" width="8.13"/>
    <col customWidth="1" min="15" max="15" width="35.5"/>
  </cols>
  <sheetData>
    <row r="1">
      <c r="A1" s="1" t="str">
        <f>IFERROR(__xludf.DUMMYFUNCTION("SPLIT(CSV!A:A,"","")"),"王朝")</f>
        <v>王朝</v>
      </c>
      <c r="B1" s="1" t="str">
        <f>IFERROR(__xludf.DUMMYFUNCTION("""COMPUTED_VALUE"""),"位序")</f>
        <v>位序</v>
      </c>
      <c r="C1" s="1" t="str">
        <f>IFERROR(__xludf.DUMMYFUNCTION("""COMPUTED_VALUE"""),"庙号")</f>
        <v>庙号</v>
      </c>
      <c r="D1" s="1" t="str">
        <f>IFERROR(__xludf.DUMMYFUNCTION("""COMPUTED_VALUE"""),"谥号")</f>
        <v>谥号</v>
      </c>
      <c r="E1" s="1" t="str">
        <f>IFERROR(__xludf.DUMMYFUNCTION("""COMPUTED_VALUE"""),"常用名")</f>
        <v>常用名</v>
      </c>
      <c r="F1" s="1" t="str">
        <f>IFERROR(__xludf.DUMMYFUNCTION("""COMPUTED_VALUE"""),"姓名")</f>
        <v>姓名</v>
      </c>
      <c r="G1" s="1" t="str">
        <f>IFERROR(__xludf.DUMMYFUNCTION("""COMPUTED_VALUE"""),"登基年份")</f>
        <v>登基年份</v>
      </c>
      <c r="H1" s="1" t="str">
        <f>IFERROR(__xludf.DUMMYFUNCTION("""COMPUTED_VALUE"""),"登基月份")</f>
        <v>登基月份</v>
      </c>
      <c r="I1" s="1" t="str">
        <f>IFERROR(__xludf.DUMMYFUNCTION("""COMPUTED_VALUE"""),"登基日期")</f>
        <v>登基日期</v>
      </c>
      <c r="J1" s="1" t="str">
        <f>IFERROR(__xludf.DUMMYFUNCTION("""COMPUTED_VALUE"""),"结束年份")</f>
        <v>结束年份</v>
      </c>
      <c r="K1" s="1" t="str">
        <f>IFERROR(__xludf.DUMMYFUNCTION("""COMPUTED_VALUE"""),"结束月份")</f>
        <v>结束月份</v>
      </c>
      <c r="L1" s="1" t="str">
        <f>IFERROR(__xludf.DUMMYFUNCTION("""COMPUTED_VALUE"""),"结束日期")</f>
        <v>结束日期</v>
      </c>
      <c r="M1" s="1" t="str">
        <f>IFERROR(__xludf.DUMMYFUNCTION("""COMPUTED_VALUE"""),"在位时长")</f>
        <v>在位时长</v>
      </c>
      <c r="N1" s="1" t="str">
        <f>IFERROR(__xludf.DUMMYFUNCTION("""COMPUTED_VALUE"""),"登基法理")</f>
        <v>登基法理</v>
      </c>
      <c r="O1" s="1" t="str">
        <f>IFERROR(__xludf.DUMMYFUNCTION("""COMPUTED_VALUE"""),"备注")</f>
        <v>备注</v>
      </c>
    </row>
    <row r="2">
      <c r="A2" s="1" t="str">
        <f>IFERROR(__xludf.DUMMYFUNCTION("SPLIT(CSV!A:A,"","")"),"秦朝")</f>
        <v>秦朝</v>
      </c>
      <c r="B2" s="1">
        <f>IFERROR(__xludf.DUMMYFUNCTION("""COMPUTED_VALUE"""),1.0)</f>
        <v>1</v>
      </c>
      <c r="C2" s="1" t="str">
        <f>IFERROR(__xludf.DUMMYFUNCTION("""COMPUTED_VALUE"""),"-")</f>
        <v>-</v>
      </c>
      <c r="D2" s="1" t="str">
        <f>IFERROR(__xludf.DUMMYFUNCTION("""COMPUTED_VALUE"""),"-")</f>
        <v>-</v>
      </c>
      <c r="E2" s="1" t="str">
        <f>IFERROR(__xludf.DUMMYFUNCTION("""COMPUTED_VALUE"""),"始皇帝")</f>
        <v>始皇帝</v>
      </c>
      <c r="F2" s="1" t="str">
        <f>IFERROR(__xludf.DUMMYFUNCTION("""COMPUTED_VALUE"""),"嬴政")</f>
        <v>嬴政</v>
      </c>
      <c r="G2" s="1">
        <f>IFERROR(__xludf.DUMMYFUNCTION("""COMPUTED_VALUE"""),-221.0)</f>
        <v>-221</v>
      </c>
      <c r="H2" s="1" t="str">
        <f>IFERROR(__xludf.DUMMYFUNCTION("""COMPUTED_VALUE"""),"-")</f>
        <v>-</v>
      </c>
      <c r="I2" s="1" t="str">
        <f>IFERROR(__xludf.DUMMYFUNCTION("""COMPUTED_VALUE"""),"-")</f>
        <v>-</v>
      </c>
      <c r="J2" s="1">
        <f>IFERROR(__xludf.DUMMYFUNCTION("""COMPUTED_VALUE"""),-210.0)</f>
        <v>-210</v>
      </c>
      <c r="K2" s="1" t="str">
        <f>IFERROR(__xludf.DUMMYFUNCTION("""COMPUTED_VALUE"""),"-")</f>
        <v>-</v>
      </c>
      <c r="L2" s="1" t="str">
        <f>IFERROR(__xludf.DUMMYFUNCTION("""COMPUTED_VALUE"""),"-")</f>
        <v>-</v>
      </c>
      <c r="M2" s="1" t="str">
        <f>IFERROR(__xludf.DUMMYFUNCTION("""COMPUTED_VALUE"""),"约11年")</f>
        <v>约11年</v>
      </c>
      <c r="N2" s="1" t="str">
        <f>IFERROR(__xludf.DUMMYFUNCTION("""COMPUTED_VALUE"""),"创业")</f>
        <v>创业</v>
      </c>
      <c r="O2" s="1" t="str">
        <f>IFERROR(__xludf.DUMMYFUNCTION("""COMPUTED_VALUE"""),"登基与结束的精确日期待考")</f>
        <v>登基与结束的精确日期待考</v>
      </c>
    </row>
    <row r="3">
      <c r="A3" s="1" t="str">
        <f>IFERROR(__xludf.DUMMYFUNCTION("SPLIT(CSV!A:A,"","")"),"秦朝")</f>
        <v>秦朝</v>
      </c>
      <c r="B3" s="1">
        <f>IFERROR(__xludf.DUMMYFUNCTION("""COMPUTED_VALUE"""),2.0)</f>
        <v>2</v>
      </c>
      <c r="C3" s="1" t="str">
        <f>IFERROR(__xludf.DUMMYFUNCTION("""COMPUTED_VALUE"""),"-")</f>
        <v>-</v>
      </c>
      <c r="D3" s="1" t="str">
        <f>IFERROR(__xludf.DUMMYFUNCTION("""COMPUTED_VALUE"""),"-")</f>
        <v>-</v>
      </c>
      <c r="E3" s="1" t="str">
        <f>IFERROR(__xludf.DUMMYFUNCTION("""COMPUTED_VALUE"""),"二世皇帝")</f>
        <v>二世皇帝</v>
      </c>
      <c r="F3" s="1" t="str">
        <f>IFERROR(__xludf.DUMMYFUNCTION("""COMPUTED_VALUE"""),"胡亥")</f>
        <v>胡亥</v>
      </c>
      <c r="G3" s="1">
        <f>IFERROR(__xludf.DUMMYFUNCTION("""COMPUTED_VALUE"""),-210.0)</f>
        <v>-210</v>
      </c>
      <c r="H3" s="1" t="str">
        <f>IFERROR(__xludf.DUMMYFUNCTION("""COMPUTED_VALUE"""),"-")</f>
        <v>-</v>
      </c>
      <c r="I3" s="1" t="str">
        <f>IFERROR(__xludf.DUMMYFUNCTION("""COMPUTED_VALUE"""),"-")</f>
        <v>-</v>
      </c>
      <c r="J3" s="1">
        <f>IFERROR(__xludf.DUMMYFUNCTION("""COMPUTED_VALUE"""),-207.0)</f>
        <v>-207</v>
      </c>
      <c r="K3" s="1" t="str">
        <f>IFERROR(__xludf.DUMMYFUNCTION("""COMPUTED_VALUE"""),"-")</f>
        <v>-</v>
      </c>
      <c r="L3" s="1" t="str">
        <f>IFERROR(__xludf.DUMMYFUNCTION("""COMPUTED_VALUE"""),"-")</f>
        <v>-</v>
      </c>
      <c r="M3" s="1" t="str">
        <f>IFERROR(__xludf.DUMMYFUNCTION("""COMPUTED_VALUE"""),"约3年")</f>
        <v>约3年</v>
      </c>
      <c r="N3" s="1" t="str">
        <f>IFERROR(__xludf.DUMMYFUNCTION("""COMPUTED_VALUE"""),"继承")</f>
        <v>继承</v>
      </c>
      <c r="O3" s="1" t="str">
        <f>IFERROR(__xludf.DUMMYFUNCTION("""COMPUTED_VALUE"""),"登基与结束的精确日期待考")</f>
        <v>登基与结束的精确日期待考</v>
      </c>
    </row>
    <row r="4">
      <c r="A4" s="1" t="str">
        <f>IFERROR(__xludf.DUMMYFUNCTION("SPLIT(CSV!A:A,"","")"),"秦朝")</f>
        <v>秦朝</v>
      </c>
      <c r="B4" s="1">
        <f>IFERROR(__xludf.DUMMYFUNCTION("""COMPUTED_VALUE"""),3.0)</f>
        <v>3</v>
      </c>
      <c r="C4" s="1" t="str">
        <f>IFERROR(__xludf.DUMMYFUNCTION("""COMPUTED_VALUE"""),"-")</f>
        <v>-</v>
      </c>
      <c r="D4" s="1" t="str">
        <f>IFERROR(__xludf.DUMMYFUNCTION("""COMPUTED_VALUE"""),"-")</f>
        <v>-</v>
      </c>
      <c r="E4" s="1" t="str">
        <f>IFERROR(__xludf.DUMMYFUNCTION("""COMPUTED_VALUE"""),"秦王子婴")</f>
        <v>秦王子婴</v>
      </c>
      <c r="F4" s="1" t="str">
        <f>IFERROR(__xludf.DUMMYFUNCTION("""COMPUTED_VALUE"""),"子婴")</f>
        <v>子婴</v>
      </c>
      <c r="G4" s="1">
        <f>IFERROR(__xludf.DUMMYFUNCTION("""COMPUTED_VALUE"""),-207.0)</f>
        <v>-207</v>
      </c>
      <c r="H4" s="1" t="str">
        <f>IFERROR(__xludf.DUMMYFUNCTION("""COMPUTED_VALUE"""),"-")</f>
        <v>-</v>
      </c>
      <c r="I4" s="1" t="str">
        <f>IFERROR(__xludf.DUMMYFUNCTION("""COMPUTED_VALUE"""),"-")</f>
        <v>-</v>
      </c>
      <c r="J4" s="1">
        <f>IFERROR(__xludf.DUMMYFUNCTION("""COMPUTED_VALUE"""),-207.0)</f>
        <v>-207</v>
      </c>
      <c r="K4" s="1" t="str">
        <f>IFERROR(__xludf.DUMMYFUNCTION("""COMPUTED_VALUE"""),"-")</f>
        <v>-</v>
      </c>
      <c r="L4" s="1" t="str">
        <f>IFERROR(__xludf.DUMMYFUNCTION("""COMPUTED_VALUE"""),"-")</f>
        <v>-</v>
      </c>
      <c r="M4" s="1" t="str">
        <f>IFERROR(__xludf.DUMMYFUNCTION("""COMPUTED_VALUE"""),"46天")</f>
        <v>46天</v>
      </c>
      <c r="N4" s="1" t="str">
        <f>IFERROR(__xludf.DUMMYFUNCTION("""COMPUTED_VALUE"""),"政变")</f>
        <v>政变</v>
      </c>
      <c r="O4" s="1" t="str">
        <f>IFERROR(__xludf.DUMMYFUNCTION("""COMPUTED_VALUE"""),"在位时长明确，精确起止日待考")</f>
        <v>在位时长明确，精确起止日待考</v>
      </c>
    </row>
    <row r="5">
      <c r="A5" s="1" t="str">
        <f>IFERROR(__xludf.DUMMYFUNCTION("SPLIT(CSV!A:A,"","")"),"西汉")</f>
        <v>西汉</v>
      </c>
      <c r="B5" s="1">
        <f>IFERROR(__xludf.DUMMYFUNCTION("""COMPUTED_VALUE"""),1.0)</f>
        <v>1</v>
      </c>
      <c r="C5" s="1" t="str">
        <f>IFERROR(__xludf.DUMMYFUNCTION("""COMPUTED_VALUE"""),"太祖")</f>
        <v>太祖</v>
      </c>
      <c r="D5" s="1" t="str">
        <f>IFERROR(__xludf.DUMMYFUNCTION("""COMPUTED_VALUE"""),"高皇帝")</f>
        <v>高皇帝</v>
      </c>
      <c r="E5" s="1" t="str">
        <f>IFERROR(__xludf.DUMMYFUNCTION("""COMPUTED_VALUE"""),"汉高祖")</f>
        <v>汉高祖</v>
      </c>
      <c r="F5" s="1" t="str">
        <f>IFERROR(__xludf.DUMMYFUNCTION("""COMPUTED_VALUE"""),"刘邦")</f>
        <v>刘邦</v>
      </c>
      <c r="G5" s="1">
        <f>IFERROR(__xludf.DUMMYFUNCTION("""COMPUTED_VALUE"""),-202.0)</f>
        <v>-202</v>
      </c>
      <c r="H5" s="1">
        <f>IFERROR(__xludf.DUMMYFUNCTION("""COMPUTED_VALUE"""),2.0)</f>
        <v>2</v>
      </c>
      <c r="I5" s="1">
        <f>IFERROR(__xludf.DUMMYFUNCTION("""COMPUTED_VALUE"""),28.0)</f>
        <v>28</v>
      </c>
      <c r="J5" s="1">
        <f>IFERROR(__xludf.DUMMYFUNCTION("""COMPUTED_VALUE"""),-195.0)</f>
        <v>-195</v>
      </c>
      <c r="K5" s="1">
        <f>IFERROR(__xludf.DUMMYFUNCTION("""COMPUTED_VALUE"""),4.0)</f>
        <v>4</v>
      </c>
      <c r="L5" s="1">
        <f>IFERROR(__xludf.DUMMYFUNCTION("""COMPUTED_VALUE"""),25.0)</f>
        <v>25</v>
      </c>
      <c r="M5" s="1" t="str">
        <f>IFERROR(__xludf.DUMMYFUNCTION("""COMPUTED_VALUE"""),"7年93天")</f>
        <v>7年93天</v>
      </c>
      <c r="N5" s="1" t="str">
        <f>IFERROR(__xludf.DUMMYFUNCTION("""COMPUTED_VALUE"""),"创业")</f>
        <v>创业</v>
      </c>
      <c r="O5" s="1" t="str">
        <f>IFERROR(__xludf.DUMMYFUNCTION("""COMPUTED_VALUE"""),"-")</f>
        <v>-</v>
      </c>
    </row>
    <row r="6">
      <c r="A6" s="1" t="str">
        <f>IFERROR(__xludf.DUMMYFUNCTION("SPLIT(CSV!A:A,"","")"),"西汉")</f>
        <v>西汉</v>
      </c>
      <c r="B6" s="1">
        <f>IFERROR(__xludf.DUMMYFUNCTION("""COMPUTED_VALUE"""),2.0)</f>
        <v>2</v>
      </c>
      <c r="C6" s="1" t="str">
        <f>IFERROR(__xludf.DUMMYFUNCTION("""COMPUTED_VALUE"""),"-")</f>
        <v>-</v>
      </c>
      <c r="D6" s="1" t="str">
        <f>IFERROR(__xludf.DUMMYFUNCTION("""COMPUTED_VALUE"""),"孝惠皇帝")</f>
        <v>孝惠皇帝</v>
      </c>
      <c r="E6" s="1" t="str">
        <f>IFERROR(__xludf.DUMMYFUNCTION("""COMPUTED_VALUE"""),"汉惠帝")</f>
        <v>汉惠帝</v>
      </c>
      <c r="F6" s="1" t="str">
        <f>IFERROR(__xludf.DUMMYFUNCTION("""COMPUTED_VALUE"""),"刘盈")</f>
        <v>刘盈</v>
      </c>
      <c r="G6" s="1">
        <f>IFERROR(__xludf.DUMMYFUNCTION("""COMPUTED_VALUE"""),-195.0)</f>
        <v>-195</v>
      </c>
      <c r="H6" s="1">
        <f>IFERROR(__xludf.DUMMYFUNCTION("""COMPUTED_VALUE"""),6.0)</f>
        <v>6</v>
      </c>
      <c r="I6" s="1">
        <f>IFERROR(__xludf.DUMMYFUNCTION("""COMPUTED_VALUE"""),23.0)</f>
        <v>23</v>
      </c>
      <c r="J6" s="1">
        <f>IFERROR(__xludf.DUMMYFUNCTION("""COMPUTED_VALUE"""),-188.0)</f>
        <v>-188</v>
      </c>
      <c r="K6" s="1">
        <f>IFERROR(__xludf.DUMMYFUNCTION("""COMPUTED_VALUE"""),9.0)</f>
        <v>9</v>
      </c>
      <c r="L6" s="1">
        <f>IFERROR(__xludf.DUMMYFUNCTION("""COMPUTED_VALUE"""),26.0)</f>
        <v>26</v>
      </c>
      <c r="M6" s="1" t="str">
        <f>IFERROR(__xludf.DUMMYFUNCTION("""COMPUTED_VALUE"""),"7年95天")</f>
        <v>7年95天</v>
      </c>
      <c r="N6" s="1" t="str">
        <f>IFERROR(__xludf.DUMMYFUNCTION("""COMPUTED_VALUE"""),"继承")</f>
        <v>继承</v>
      </c>
      <c r="O6" s="1" t="str">
        <f>IFERROR(__xludf.DUMMYFUNCTION("""COMPUTED_VALUE"""),"-")</f>
        <v>-</v>
      </c>
    </row>
    <row r="7">
      <c r="A7" s="1" t="str">
        <f>IFERROR(__xludf.DUMMYFUNCTION("SPLIT(CSV!A:A,"","")"),"西汉")</f>
        <v>西汉</v>
      </c>
      <c r="B7" s="1">
        <f>IFERROR(__xludf.DUMMYFUNCTION("""COMPUTED_VALUE"""),3.0)</f>
        <v>3</v>
      </c>
      <c r="C7" s="1" t="str">
        <f>IFERROR(__xludf.DUMMYFUNCTION("""COMPUTED_VALUE"""),"-")</f>
        <v>-</v>
      </c>
      <c r="D7" s="1" t="str">
        <f>IFERROR(__xludf.DUMMYFUNCTION("""COMPUTED_VALUE"""),"-")</f>
        <v>-</v>
      </c>
      <c r="E7" s="1" t="str">
        <f>IFERROR(__xludf.DUMMYFUNCTION("""COMPUTED_VALUE"""),"(前)少帝")</f>
        <v>(前)少帝</v>
      </c>
      <c r="F7" s="1" t="str">
        <f>IFERROR(__xludf.DUMMYFUNCTION("""COMPUTED_VALUE"""),"刘恭")</f>
        <v>刘恭</v>
      </c>
      <c r="G7" s="1">
        <f>IFERROR(__xludf.DUMMYFUNCTION("""COMPUTED_VALUE"""),-188.0)</f>
        <v>-188</v>
      </c>
      <c r="H7" s="1">
        <f>IFERROR(__xludf.DUMMYFUNCTION("""COMPUTED_VALUE"""),10.0)</f>
        <v>10</v>
      </c>
      <c r="I7" s="1" t="str">
        <f>IFERROR(__xludf.DUMMYFUNCTION("""COMPUTED_VALUE"""),"-")</f>
        <v>-</v>
      </c>
      <c r="J7" s="1">
        <f>IFERROR(__xludf.DUMMYFUNCTION("""COMPUTED_VALUE"""),-184.0)</f>
        <v>-184</v>
      </c>
      <c r="K7" s="1">
        <f>IFERROR(__xludf.DUMMYFUNCTION("""COMPUTED_VALUE"""),6.0)</f>
        <v>6</v>
      </c>
      <c r="L7" s="1">
        <f>IFERROR(__xludf.DUMMYFUNCTION("""COMPUTED_VALUE"""),15.0)</f>
        <v>15</v>
      </c>
      <c r="M7" s="1" t="str">
        <f>IFERROR(__xludf.DUMMYFUNCTION("""COMPUTED_VALUE"""),"约4年")</f>
        <v>约4年</v>
      </c>
      <c r="N7" s="1" t="str">
        <f>IFERROR(__xludf.DUMMYFUNCTION("""COMPUTED_VALUE"""),"继承")</f>
        <v>继承</v>
      </c>
      <c r="O7" s="1" t="str">
        <f>IFERROR(__xludf.DUMMYFUNCTION("""COMPUTED_VALUE"""),"被废，精确登基日待考")</f>
        <v>被废，精确登基日待考</v>
      </c>
    </row>
    <row r="8">
      <c r="A8" s="1" t="str">
        <f>IFERROR(__xludf.DUMMYFUNCTION("SPLIT(CSV!A:A,"","")"),"西汉")</f>
        <v>西汉</v>
      </c>
      <c r="B8" s="1">
        <f>IFERROR(__xludf.DUMMYFUNCTION("""COMPUTED_VALUE"""),4.0)</f>
        <v>4</v>
      </c>
      <c r="C8" s="1" t="str">
        <f>IFERROR(__xludf.DUMMYFUNCTION("""COMPUTED_VALUE"""),"-")</f>
        <v>-</v>
      </c>
      <c r="D8" s="1" t="str">
        <f>IFERROR(__xludf.DUMMYFUNCTION("""COMPUTED_VALUE"""),"-")</f>
        <v>-</v>
      </c>
      <c r="E8" s="1" t="str">
        <f>IFERROR(__xludf.DUMMYFUNCTION("""COMPUTED_VALUE"""),"(后)少帝")</f>
        <v>(后)少帝</v>
      </c>
      <c r="F8" s="1" t="str">
        <f>IFERROR(__xludf.DUMMYFUNCTION("""COMPUTED_VALUE"""),"刘弘")</f>
        <v>刘弘</v>
      </c>
      <c r="G8" s="1">
        <f>IFERROR(__xludf.DUMMYFUNCTION("""COMPUTED_VALUE"""),-184.0)</f>
        <v>-184</v>
      </c>
      <c r="H8" s="1">
        <f>IFERROR(__xludf.DUMMYFUNCTION("""COMPUTED_VALUE"""),6.0)</f>
        <v>6</v>
      </c>
      <c r="I8" s="1">
        <f>IFERROR(__xludf.DUMMYFUNCTION("""COMPUTED_VALUE"""),15.0)</f>
        <v>15</v>
      </c>
      <c r="J8" s="1">
        <f>IFERROR(__xludf.DUMMYFUNCTION("""COMPUTED_VALUE"""),-180.0)</f>
        <v>-180</v>
      </c>
      <c r="K8" s="1">
        <f>IFERROR(__xludf.DUMMYFUNCTION("""COMPUTED_VALUE"""),11.0)</f>
        <v>11</v>
      </c>
      <c r="L8" s="1">
        <f>IFERROR(__xludf.DUMMYFUNCTION("""COMPUTED_VALUE"""),14.0)</f>
        <v>14</v>
      </c>
      <c r="M8" s="1" t="str">
        <f>IFERROR(__xludf.DUMMYFUNCTION("""COMPUTED_VALUE"""),"4年152天")</f>
        <v>4年152天</v>
      </c>
      <c r="N8" s="1" t="str">
        <f>IFERROR(__xludf.DUMMYFUNCTION("""COMPUTED_VALUE"""),"继承")</f>
        <v>继承</v>
      </c>
      <c r="O8" s="1" t="str">
        <f>IFERROR(__xludf.DUMMYFUNCTION("""COMPUTED_VALUE"""),"被废黜后遭诛杀")</f>
        <v>被废黜后遭诛杀</v>
      </c>
    </row>
    <row r="9">
      <c r="A9" s="1" t="str">
        <f>IFERROR(__xludf.DUMMYFUNCTION("SPLIT(CSV!A:A,"","")"),"西汉")</f>
        <v>西汉</v>
      </c>
      <c r="B9" s="1">
        <f>IFERROR(__xludf.DUMMYFUNCTION("""COMPUTED_VALUE"""),5.0)</f>
        <v>5</v>
      </c>
      <c r="C9" s="1" t="str">
        <f>IFERROR(__xludf.DUMMYFUNCTION("""COMPUTED_VALUE"""),"太宗")</f>
        <v>太宗</v>
      </c>
      <c r="D9" s="1" t="str">
        <f>IFERROR(__xludf.DUMMYFUNCTION("""COMPUTED_VALUE"""),"孝文皇帝")</f>
        <v>孝文皇帝</v>
      </c>
      <c r="E9" s="1" t="str">
        <f>IFERROR(__xludf.DUMMYFUNCTION("""COMPUTED_VALUE"""),"汉文帝")</f>
        <v>汉文帝</v>
      </c>
      <c r="F9" s="1" t="str">
        <f>IFERROR(__xludf.DUMMYFUNCTION("""COMPUTED_VALUE"""),"刘恒")</f>
        <v>刘恒</v>
      </c>
      <c r="G9" s="1">
        <f>IFERROR(__xludf.DUMMYFUNCTION("""COMPUTED_VALUE"""),-180.0)</f>
        <v>-180</v>
      </c>
      <c r="H9" s="1">
        <f>IFERROR(__xludf.DUMMYFUNCTION("""COMPUTED_VALUE"""),11.0)</f>
        <v>11</v>
      </c>
      <c r="I9" s="1">
        <f>IFERROR(__xludf.DUMMYFUNCTION("""COMPUTED_VALUE"""),14.0)</f>
        <v>14</v>
      </c>
      <c r="J9" s="1">
        <f>IFERROR(__xludf.DUMMYFUNCTION("""COMPUTED_VALUE"""),-157.0)</f>
        <v>-157</v>
      </c>
      <c r="K9" s="1">
        <f>IFERROR(__xludf.DUMMYFUNCTION("""COMPUTED_VALUE"""),7.0)</f>
        <v>7</v>
      </c>
      <c r="L9" s="1">
        <f>IFERROR(__xludf.DUMMYFUNCTION("""COMPUTED_VALUE"""),6.0)</f>
        <v>6</v>
      </c>
      <c r="M9" s="1" t="str">
        <f>IFERROR(__xludf.DUMMYFUNCTION("""COMPUTED_VALUE"""),"22年235天")</f>
        <v>22年235天</v>
      </c>
      <c r="N9" s="1" t="str">
        <f>IFERROR(__xludf.DUMMYFUNCTION("""COMPUTED_VALUE"""),"政变")</f>
        <v>政变</v>
      </c>
      <c r="O9" s="1" t="str">
        <f>IFERROR(__xludf.DUMMYFUNCTION("""COMPUTED_VALUE"""),"-")</f>
        <v>-</v>
      </c>
    </row>
    <row r="10">
      <c r="A10" s="1" t="str">
        <f>IFERROR(__xludf.DUMMYFUNCTION("SPLIT(CSV!A:A,"","")"),"西汉")</f>
        <v>西汉</v>
      </c>
      <c r="B10" s="1">
        <f>IFERROR(__xludf.DUMMYFUNCTION("""COMPUTED_VALUE"""),6.0)</f>
        <v>6</v>
      </c>
      <c r="C10" s="1" t="str">
        <f>IFERROR(__xludf.DUMMYFUNCTION("""COMPUTED_VALUE"""),"-")</f>
        <v>-</v>
      </c>
      <c r="D10" s="1" t="str">
        <f>IFERROR(__xludf.DUMMYFUNCTION("""COMPUTED_VALUE"""),"孝景皇帝")</f>
        <v>孝景皇帝</v>
      </c>
      <c r="E10" s="1" t="str">
        <f>IFERROR(__xludf.DUMMYFUNCTION("""COMPUTED_VALUE"""),"汉景帝")</f>
        <v>汉景帝</v>
      </c>
      <c r="F10" s="1" t="str">
        <f>IFERROR(__xludf.DUMMYFUNCTION("""COMPUTED_VALUE"""),"刘启")</f>
        <v>刘启</v>
      </c>
      <c r="G10" s="1">
        <f>IFERROR(__xludf.DUMMYFUNCTION("""COMPUTED_VALUE"""),-157.0)</f>
        <v>-157</v>
      </c>
      <c r="H10" s="1">
        <f>IFERROR(__xludf.DUMMYFUNCTION("""COMPUTED_VALUE"""),7.0)</f>
        <v>7</v>
      </c>
      <c r="I10" s="1">
        <f>IFERROR(__xludf.DUMMYFUNCTION("""COMPUTED_VALUE"""),14.0)</f>
        <v>14</v>
      </c>
      <c r="J10" s="1">
        <f>IFERROR(__xludf.DUMMYFUNCTION("""COMPUTED_VALUE"""),-141.0)</f>
        <v>-141</v>
      </c>
      <c r="K10" s="1">
        <f>IFERROR(__xludf.DUMMYFUNCTION("""COMPUTED_VALUE"""),3.0)</f>
        <v>3</v>
      </c>
      <c r="L10" s="1">
        <f>IFERROR(__xludf.DUMMYFUNCTION("""COMPUTED_VALUE"""),9.0)</f>
        <v>9</v>
      </c>
      <c r="M10" s="1" t="str">
        <f>IFERROR(__xludf.DUMMYFUNCTION("""COMPUTED_VALUE"""),"15年238天")</f>
        <v>15年238天</v>
      </c>
      <c r="N10" s="1" t="str">
        <f>IFERROR(__xludf.DUMMYFUNCTION("""COMPUTED_VALUE"""),"继承")</f>
        <v>继承</v>
      </c>
      <c r="O10" s="1" t="str">
        <f>IFERROR(__xludf.DUMMYFUNCTION("""COMPUTED_VALUE"""),"-")</f>
        <v>-</v>
      </c>
    </row>
    <row r="11">
      <c r="A11" s="1" t="str">
        <f>IFERROR(__xludf.DUMMYFUNCTION("SPLIT(CSV!A:A,"","")"),"西汉")</f>
        <v>西汉</v>
      </c>
      <c r="B11" s="1">
        <f>IFERROR(__xludf.DUMMYFUNCTION("""COMPUTED_VALUE"""),7.0)</f>
        <v>7</v>
      </c>
      <c r="C11" s="1" t="str">
        <f>IFERROR(__xludf.DUMMYFUNCTION("""COMPUTED_VALUE"""),"世宗")</f>
        <v>世宗</v>
      </c>
      <c r="D11" s="1" t="str">
        <f>IFERROR(__xludf.DUMMYFUNCTION("""COMPUTED_VALUE"""),"孝武皇帝")</f>
        <v>孝武皇帝</v>
      </c>
      <c r="E11" s="1" t="str">
        <f>IFERROR(__xludf.DUMMYFUNCTION("""COMPUTED_VALUE"""),"汉武帝")</f>
        <v>汉武帝</v>
      </c>
      <c r="F11" s="1" t="str">
        <f>IFERROR(__xludf.DUMMYFUNCTION("""COMPUTED_VALUE"""),"刘彻")</f>
        <v>刘彻</v>
      </c>
      <c r="G11" s="1">
        <f>IFERROR(__xludf.DUMMYFUNCTION("""COMPUTED_VALUE"""),-141.0)</f>
        <v>-141</v>
      </c>
      <c r="H11" s="1">
        <f>IFERROR(__xludf.DUMMYFUNCTION("""COMPUTED_VALUE"""),3.0)</f>
        <v>3</v>
      </c>
      <c r="I11" s="1">
        <f>IFERROR(__xludf.DUMMYFUNCTION("""COMPUTED_VALUE"""),10.0)</f>
        <v>10</v>
      </c>
      <c r="J11" s="1">
        <f>IFERROR(__xludf.DUMMYFUNCTION("""COMPUTED_VALUE"""),-87.0)</f>
        <v>-87</v>
      </c>
      <c r="K11" s="1">
        <f>IFERROR(__xludf.DUMMYFUNCTION("""COMPUTED_VALUE"""),3.0)</f>
        <v>3</v>
      </c>
      <c r="L11" s="1">
        <f>IFERROR(__xludf.DUMMYFUNCTION("""COMPUTED_VALUE"""),29.0)</f>
        <v>29</v>
      </c>
      <c r="M11" s="1" t="str">
        <f>IFERROR(__xludf.DUMMYFUNCTION("""COMPUTED_VALUE"""),"54年20天")</f>
        <v>54年20天</v>
      </c>
      <c r="N11" s="1" t="str">
        <f>IFERROR(__xludf.DUMMYFUNCTION("""COMPUTED_VALUE"""),"继承")</f>
        <v>继承</v>
      </c>
      <c r="O11" s="1" t="str">
        <f>IFERROR(__xludf.DUMMYFUNCTION("""COMPUTED_VALUE"""),"-")</f>
        <v>-</v>
      </c>
    </row>
    <row r="12">
      <c r="A12" s="1" t="str">
        <f>IFERROR(__xludf.DUMMYFUNCTION("SPLIT(CSV!A:A,"","")"),"西汉")</f>
        <v>西汉</v>
      </c>
      <c r="B12" s="1">
        <f>IFERROR(__xludf.DUMMYFUNCTION("""COMPUTED_VALUE"""),8.0)</f>
        <v>8</v>
      </c>
      <c r="C12" s="1" t="str">
        <f>IFERROR(__xludf.DUMMYFUNCTION("""COMPUTED_VALUE"""),"-")</f>
        <v>-</v>
      </c>
      <c r="D12" s="1" t="str">
        <f>IFERROR(__xludf.DUMMYFUNCTION("""COMPUTED_VALUE"""),"孝昭皇帝")</f>
        <v>孝昭皇帝</v>
      </c>
      <c r="E12" s="1" t="str">
        <f>IFERROR(__xludf.DUMMYFUNCTION("""COMPUTED_VALUE"""),"汉昭帝")</f>
        <v>汉昭帝</v>
      </c>
      <c r="F12" s="1" t="str">
        <f>IFERROR(__xludf.DUMMYFUNCTION("""COMPUTED_VALUE"""),"刘弗陵")</f>
        <v>刘弗陵</v>
      </c>
      <c r="G12" s="1">
        <f>IFERROR(__xludf.DUMMYFUNCTION("""COMPUTED_VALUE"""),-87.0)</f>
        <v>-87</v>
      </c>
      <c r="H12" s="1">
        <f>IFERROR(__xludf.DUMMYFUNCTION("""COMPUTED_VALUE"""),3.0)</f>
        <v>3</v>
      </c>
      <c r="I12" s="1">
        <f>IFERROR(__xludf.DUMMYFUNCTION("""COMPUTED_VALUE"""),30.0)</f>
        <v>30</v>
      </c>
      <c r="J12" s="1">
        <f>IFERROR(__xludf.DUMMYFUNCTION("""COMPUTED_VALUE"""),-74.0)</f>
        <v>-74</v>
      </c>
      <c r="K12" s="1">
        <f>IFERROR(__xludf.DUMMYFUNCTION("""COMPUTED_VALUE"""),6.0)</f>
        <v>6</v>
      </c>
      <c r="L12" s="1">
        <f>IFERROR(__xludf.DUMMYFUNCTION("""COMPUTED_VALUE"""),5.0)</f>
        <v>5</v>
      </c>
      <c r="M12" s="1" t="str">
        <f>IFERROR(__xludf.DUMMYFUNCTION("""COMPUTED_VALUE"""),"13年67天")</f>
        <v>13年67天</v>
      </c>
      <c r="N12" s="1" t="str">
        <f>IFERROR(__xludf.DUMMYFUNCTION("""COMPUTED_VALUE"""),"继承")</f>
        <v>继承</v>
      </c>
      <c r="O12" s="1" t="str">
        <f>IFERROR(__xludf.DUMMYFUNCTION("""COMPUTED_VALUE"""),"-")</f>
        <v>-</v>
      </c>
    </row>
    <row r="13">
      <c r="A13" s="1" t="str">
        <f>IFERROR(__xludf.DUMMYFUNCTION("SPLIT(CSV!A:A,"","")"),"西汉")</f>
        <v>西汉</v>
      </c>
      <c r="B13" s="1">
        <f>IFERROR(__xludf.DUMMYFUNCTION("""COMPUTED_VALUE"""),9.0)</f>
        <v>9</v>
      </c>
      <c r="C13" s="1" t="str">
        <f>IFERROR(__xludf.DUMMYFUNCTION("""COMPUTED_VALUE"""),"-")</f>
        <v>-</v>
      </c>
      <c r="D13" s="1" t="str">
        <f>IFERROR(__xludf.DUMMYFUNCTION("""COMPUTED_VALUE"""),"-")</f>
        <v>-</v>
      </c>
      <c r="E13" s="1" t="str">
        <f>IFERROR(__xludf.DUMMYFUNCTION("""COMPUTED_VALUE"""),"海昏侯/废帝")</f>
        <v>海昏侯/废帝</v>
      </c>
      <c r="F13" s="1" t="str">
        <f>IFERROR(__xludf.DUMMYFUNCTION("""COMPUTED_VALUE"""),"刘贺")</f>
        <v>刘贺</v>
      </c>
      <c r="G13" s="1">
        <f>IFERROR(__xludf.DUMMYFUNCTION("""COMPUTED_VALUE"""),-74.0)</f>
        <v>-74</v>
      </c>
      <c r="H13" s="1">
        <f>IFERROR(__xludf.DUMMYFUNCTION("""COMPUTED_VALUE"""),6.0)</f>
        <v>6</v>
      </c>
      <c r="I13" s="1">
        <f>IFERROR(__xludf.DUMMYFUNCTION("""COMPUTED_VALUE"""),5.0)</f>
        <v>5</v>
      </c>
      <c r="J13" s="1">
        <f>IFERROR(__xludf.DUMMYFUNCTION("""COMPUTED_VALUE"""),-74.0)</f>
        <v>-74</v>
      </c>
      <c r="K13" s="1">
        <f>IFERROR(__xludf.DUMMYFUNCTION("""COMPUTED_VALUE"""),8.0)</f>
        <v>8</v>
      </c>
      <c r="L13" s="1">
        <f>IFERROR(__xludf.DUMMYFUNCTION("""COMPUTED_VALUE"""),1.0)</f>
        <v>1</v>
      </c>
      <c r="M13" s="1" t="str">
        <f>IFERROR(__xludf.DUMMYFUNCTION("""COMPUTED_VALUE"""),"27天")</f>
        <v>27天</v>
      </c>
      <c r="N13" s="1" t="str">
        <f>IFERROR(__xludf.DUMMYFUNCTION("""COMPUTED_VALUE"""),"继承")</f>
        <v>继承</v>
      </c>
      <c r="O13" s="1" t="str">
        <f>IFERROR(__xludf.DUMMYFUNCTION("""COMPUTED_VALUE"""),"被废")</f>
        <v>被废</v>
      </c>
    </row>
    <row r="14">
      <c r="A14" s="1" t="str">
        <f>IFERROR(__xludf.DUMMYFUNCTION("SPLIT(CSV!A:A,"","")"),"西汉")</f>
        <v>西汉</v>
      </c>
      <c r="B14" s="1">
        <f>IFERROR(__xludf.DUMMYFUNCTION("""COMPUTED_VALUE"""),10.0)</f>
        <v>10</v>
      </c>
      <c r="C14" s="1" t="str">
        <f>IFERROR(__xludf.DUMMYFUNCTION("""COMPUTED_VALUE"""),"中宗")</f>
        <v>中宗</v>
      </c>
      <c r="D14" s="1" t="str">
        <f>IFERROR(__xludf.DUMMYFUNCTION("""COMPUTED_VALUE"""),"孝宣皇帝")</f>
        <v>孝宣皇帝</v>
      </c>
      <c r="E14" s="1" t="str">
        <f>IFERROR(__xludf.DUMMYFUNCTION("""COMPUTED_VALUE"""),"汉宣帝")</f>
        <v>汉宣帝</v>
      </c>
      <c r="F14" s="1" t="str">
        <f>IFERROR(__xludf.DUMMYFUNCTION("""COMPUTED_VALUE"""),"刘询")</f>
        <v>刘询</v>
      </c>
      <c r="G14" s="1">
        <f>IFERROR(__xludf.DUMMYFUNCTION("""COMPUTED_VALUE"""),-74.0)</f>
        <v>-74</v>
      </c>
      <c r="H14" s="1">
        <f>IFERROR(__xludf.DUMMYFUNCTION("""COMPUTED_VALUE"""),8.0)</f>
        <v>8</v>
      </c>
      <c r="I14" s="1">
        <f>IFERROR(__xludf.DUMMYFUNCTION("""COMPUTED_VALUE"""),1.0)</f>
        <v>1</v>
      </c>
      <c r="J14" s="1">
        <f>IFERROR(__xludf.DUMMYFUNCTION("""COMPUTED_VALUE"""),-49.0)</f>
        <v>-49</v>
      </c>
      <c r="K14" s="1">
        <f>IFERROR(__xludf.DUMMYFUNCTION("""COMPUTED_VALUE"""),1.0)</f>
        <v>1</v>
      </c>
      <c r="L14" s="1">
        <f>IFERROR(__xludf.DUMMYFUNCTION("""COMPUTED_VALUE"""),10.0)</f>
        <v>10</v>
      </c>
      <c r="M14" s="1" t="str">
        <f>IFERROR(__xludf.DUMMYFUNCTION("""COMPUTED_VALUE"""),"25年122天")</f>
        <v>25年122天</v>
      </c>
      <c r="N14" s="1" t="str">
        <f>IFERROR(__xludf.DUMMYFUNCTION("""COMPUTED_VALUE"""),"政变")</f>
        <v>政变</v>
      </c>
      <c r="O14" s="1" t="str">
        <f>IFERROR(__xludf.DUMMYFUNCTION("""COMPUTED_VALUE"""),"-")</f>
        <v>-</v>
      </c>
    </row>
    <row r="15">
      <c r="A15" s="1" t="str">
        <f>IFERROR(__xludf.DUMMYFUNCTION("SPLIT(CSV!A:A,"","")"),"西汉")</f>
        <v>西汉</v>
      </c>
      <c r="B15" s="1">
        <f>IFERROR(__xludf.DUMMYFUNCTION("""COMPUTED_VALUE"""),11.0)</f>
        <v>11</v>
      </c>
      <c r="C15" s="1" t="str">
        <f>IFERROR(__xludf.DUMMYFUNCTION("""COMPUTED_VALUE"""),"-")</f>
        <v>-</v>
      </c>
      <c r="D15" s="1" t="str">
        <f>IFERROR(__xludf.DUMMYFUNCTION("""COMPUTED_VALUE"""),"孝元皇帝")</f>
        <v>孝元皇帝</v>
      </c>
      <c r="E15" s="1" t="str">
        <f>IFERROR(__xludf.DUMMYFUNCTION("""COMPUTED_VALUE"""),"汉元帝")</f>
        <v>汉元帝</v>
      </c>
      <c r="F15" s="1" t="str">
        <f>IFERROR(__xludf.DUMMYFUNCTION("""COMPUTED_VALUE"""),"刘奭")</f>
        <v>刘奭</v>
      </c>
      <c r="G15" s="1">
        <f>IFERROR(__xludf.DUMMYFUNCTION("""COMPUTED_VALUE"""),-49.0)</f>
        <v>-49</v>
      </c>
      <c r="H15" s="1">
        <f>IFERROR(__xludf.DUMMYFUNCTION("""COMPUTED_VALUE"""),1.0)</f>
        <v>1</v>
      </c>
      <c r="I15" s="1">
        <f>IFERROR(__xludf.DUMMYFUNCTION("""COMPUTED_VALUE"""),10.0)</f>
        <v>10</v>
      </c>
      <c r="J15" s="1">
        <f>IFERROR(__xludf.DUMMYFUNCTION("""COMPUTED_VALUE"""),-33.0)</f>
        <v>-33</v>
      </c>
      <c r="K15" s="1">
        <f>IFERROR(__xludf.DUMMYFUNCTION("""COMPUTED_VALUE"""),7.0)</f>
        <v>7</v>
      </c>
      <c r="L15" s="1">
        <f>IFERROR(__xludf.DUMMYFUNCTION("""COMPUTED_VALUE"""),8.0)</f>
        <v>8</v>
      </c>
      <c r="M15" s="1" t="str">
        <f>IFERROR(__xludf.DUMMYFUNCTION("""COMPUTED_VALUE"""),"15年179天")</f>
        <v>15年179天</v>
      </c>
      <c r="N15" s="1" t="str">
        <f>IFERROR(__xludf.DUMMYFUNCTION("""COMPUTED_VALUE"""),"继承")</f>
        <v>继承</v>
      </c>
      <c r="O15" s="1" t="str">
        <f>IFERROR(__xludf.DUMMYFUNCTION("""COMPUTED_VALUE"""),"-")</f>
        <v>-</v>
      </c>
    </row>
    <row r="16">
      <c r="A16" s="1" t="str">
        <f>IFERROR(__xludf.DUMMYFUNCTION("SPLIT(CSV!A:A,"","")"),"西汉")</f>
        <v>西汉</v>
      </c>
      <c r="B16" s="1">
        <f>IFERROR(__xludf.DUMMYFUNCTION("""COMPUTED_VALUE"""),12.0)</f>
        <v>12</v>
      </c>
      <c r="C16" s="1" t="str">
        <f>IFERROR(__xludf.DUMMYFUNCTION("""COMPUTED_VALUE"""),"-")</f>
        <v>-</v>
      </c>
      <c r="D16" s="1" t="str">
        <f>IFERROR(__xludf.DUMMYFUNCTION("""COMPUTED_VALUE"""),"孝成皇帝")</f>
        <v>孝成皇帝</v>
      </c>
      <c r="E16" s="1" t="str">
        <f>IFERROR(__xludf.DUMMYFUNCTION("""COMPUTED_VALUE"""),"汉成帝")</f>
        <v>汉成帝</v>
      </c>
      <c r="F16" s="1" t="str">
        <f>IFERROR(__xludf.DUMMYFUNCTION("""COMPUTED_VALUE"""),"刘骜")</f>
        <v>刘骜</v>
      </c>
      <c r="G16" s="1">
        <f>IFERROR(__xludf.DUMMYFUNCTION("""COMPUTED_VALUE"""),-33.0)</f>
        <v>-33</v>
      </c>
      <c r="H16" s="1">
        <f>IFERROR(__xludf.DUMMYFUNCTION("""COMPUTED_VALUE"""),7.0)</f>
        <v>7</v>
      </c>
      <c r="I16" s="1">
        <f>IFERROR(__xludf.DUMMYFUNCTION("""COMPUTED_VALUE"""),9.0)</f>
        <v>9</v>
      </c>
      <c r="J16" s="1">
        <f>IFERROR(__xludf.DUMMYFUNCTION("""COMPUTED_VALUE"""),-7.0)</f>
        <v>-7</v>
      </c>
      <c r="K16" s="1">
        <f>IFERROR(__xludf.DUMMYFUNCTION("""COMPUTED_VALUE"""),4.0)</f>
        <v>4</v>
      </c>
      <c r="L16" s="1">
        <f>IFERROR(__xludf.DUMMYFUNCTION("""COMPUTED_VALUE"""),17.0)</f>
        <v>17</v>
      </c>
      <c r="M16" s="1" t="str">
        <f>IFERROR(__xludf.DUMMYFUNCTION("""COMPUTED_VALUE"""),"25年283天")</f>
        <v>25年283天</v>
      </c>
      <c r="N16" s="1" t="str">
        <f>IFERROR(__xludf.DUMMYFUNCTION("""COMPUTED_VALUE"""),"继承")</f>
        <v>继承</v>
      </c>
      <c r="O16" s="1" t="str">
        <f>IFERROR(__xludf.DUMMYFUNCTION("""COMPUTED_VALUE"""),"-")</f>
        <v>-</v>
      </c>
    </row>
    <row r="17">
      <c r="A17" s="1" t="str">
        <f>IFERROR(__xludf.DUMMYFUNCTION("SPLIT(CSV!A:A,"","")"),"西汉")</f>
        <v>西汉</v>
      </c>
      <c r="B17" s="1">
        <f>IFERROR(__xludf.DUMMYFUNCTION("""COMPUTED_VALUE"""),13.0)</f>
        <v>13</v>
      </c>
      <c r="C17" s="1" t="str">
        <f>IFERROR(__xludf.DUMMYFUNCTION("""COMPUTED_VALUE"""),"-")</f>
        <v>-</v>
      </c>
      <c r="D17" s="1" t="str">
        <f>IFERROR(__xludf.DUMMYFUNCTION("""COMPUTED_VALUE"""),"孝哀皇帝")</f>
        <v>孝哀皇帝</v>
      </c>
      <c r="E17" s="1" t="str">
        <f>IFERROR(__xludf.DUMMYFUNCTION("""COMPUTED_VALUE"""),"汉哀帝")</f>
        <v>汉哀帝</v>
      </c>
      <c r="F17" s="1" t="str">
        <f>IFERROR(__xludf.DUMMYFUNCTION("""COMPUTED_VALUE"""),"刘欣")</f>
        <v>刘欣</v>
      </c>
      <c r="G17" s="1">
        <f>IFERROR(__xludf.DUMMYFUNCTION("""COMPUTED_VALUE"""),-7.0)</f>
        <v>-7</v>
      </c>
      <c r="H17" s="1">
        <f>IFERROR(__xludf.DUMMYFUNCTION("""COMPUTED_VALUE"""),5.0)</f>
        <v>5</v>
      </c>
      <c r="I17" s="1">
        <f>IFERROR(__xludf.DUMMYFUNCTION("""COMPUTED_VALUE"""),7.0)</f>
        <v>7</v>
      </c>
      <c r="J17" s="1">
        <f>IFERROR(__xludf.DUMMYFUNCTION("""COMPUTED_VALUE"""),-1.0)</f>
        <v>-1</v>
      </c>
      <c r="K17" s="1">
        <f>IFERROR(__xludf.DUMMYFUNCTION("""COMPUTED_VALUE"""),8.0)</f>
        <v>8</v>
      </c>
      <c r="L17" s="1">
        <f>IFERROR(__xludf.DUMMYFUNCTION("""COMPUTED_VALUE"""),15.0)</f>
        <v>15</v>
      </c>
      <c r="M17" s="1" t="str">
        <f>IFERROR(__xludf.DUMMYFUNCTION("""COMPUTED_VALUE"""),"6年100天")</f>
        <v>6年100天</v>
      </c>
      <c r="N17" s="1" t="str">
        <f>IFERROR(__xludf.DUMMYFUNCTION("""COMPUTED_VALUE"""),"继承")</f>
        <v>继承</v>
      </c>
      <c r="O17" s="1" t="str">
        <f>IFERROR(__xludf.DUMMYFUNCTION("""COMPUTED_VALUE"""),"-")</f>
        <v>-</v>
      </c>
    </row>
    <row r="18">
      <c r="A18" s="1" t="str">
        <f>IFERROR(__xludf.DUMMYFUNCTION("SPLIT(CSV!A:A,"","")"),"西汉")</f>
        <v>西汉</v>
      </c>
      <c r="B18" s="1">
        <f>IFERROR(__xludf.DUMMYFUNCTION("""COMPUTED_VALUE"""),14.0)</f>
        <v>14</v>
      </c>
      <c r="C18" s="1" t="str">
        <f>IFERROR(__xludf.DUMMYFUNCTION("""COMPUTED_VALUE"""),"-")</f>
        <v>-</v>
      </c>
      <c r="D18" s="1" t="str">
        <f>IFERROR(__xludf.DUMMYFUNCTION("""COMPUTED_VALUE"""),"孝平皇帝")</f>
        <v>孝平皇帝</v>
      </c>
      <c r="E18" s="1" t="str">
        <f>IFERROR(__xludf.DUMMYFUNCTION("""COMPUTED_VALUE"""),"汉平帝")</f>
        <v>汉平帝</v>
      </c>
      <c r="F18" s="1" t="str">
        <f>IFERROR(__xludf.DUMMYFUNCTION("""COMPUTED_VALUE"""),"刘衎")</f>
        <v>刘衎</v>
      </c>
      <c r="G18" s="1">
        <f>IFERROR(__xludf.DUMMYFUNCTION("""COMPUTED_VALUE"""),-1.0)</f>
        <v>-1</v>
      </c>
      <c r="H18" s="1">
        <f>IFERROR(__xludf.DUMMYFUNCTION("""COMPUTED_VALUE"""),10.0)</f>
        <v>10</v>
      </c>
      <c r="I18" s="1">
        <f>IFERROR(__xludf.DUMMYFUNCTION("""COMPUTED_VALUE"""),17.0)</f>
        <v>17</v>
      </c>
      <c r="J18" s="1">
        <f>IFERROR(__xludf.DUMMYFUNCTION("""COMPUTED_VALUE"""),6.0)</f>
        <v>6</v>
      </c>
      <c r="K18" s="1">
        <f>IFERROR(__xludf.DUMMYFUNCTION("""COMPUTED_VALUE"""),2.0)</f>
        <v>2</v>
      </c>
      <c r="L18" s="1">
        <f>IFERROR(__xludf.DUMMYFUNCTION("""COMPUTED_VALUE"""),3.0)</f>
        <v>3</v>
      </c>
      <c r="M18" s="1" t="str">
        <f>IFERROR(__xludf.DUMMYFUNCTION("""COMPUTED_VALUE"""),"6年109天")</f>
        <v>6年109天</v>
      </c>
      <c r="N18" s="1" t="str">
        <f>IFERROR(__xludf.DUMMYFUNCTION("""COMPUTED_VALUE"""),"继承")</f>
        <v>继承</v>
      </c>
      <c r="O18" s="1" t="str">
        <f>IFERROR(__xludf.DUMMYFUNCTION("""COMPUTED_VALUE"""),"-")</f>
        <v>-</v>
      </c>
    </row>
    <row r="19">
      <c r="A19" s="1" t="str">
        <f>IFERROR(__xludf.DUMMYFUNCTION("SPLIT(CSV!A:A,"","")"),"西汉")</f>
        <v>西汉</v>
      </c>
      <c r="B19" s="1">
        <f>IFERROR(__xludf.DUMMYFUNCTION("""COMPUTED_VALUE"""),15.0)</f>
        <v>15</v>
      </c>
      <c r="C19" s="1" t="str">
        <f>IFERROR(__xludf.DUMMYFUNCTION("""COMPUTED_VALUE"""),"-")</f>
        <v>-</v>
      </c>
      <c r="D19" s="1" t="str">
        <f>IFERROR(__xludf.DUMMYFUNCTION("""COMPUTED_VALUE"""),"-")</f>
        <v>-</v>
      </c>
      <c r="E19" s="1" t="str">
        <f>IFERROR(__xludf.DUMMYFUNCTION("""COMPUTED_VALUE"""),"孺子婴")</f>
        <v>孺子婴</v>
      </c>
      <c r="F19" s="1" t="str">
        <f>IFERROR(__xludf.DUMMYFUNCTION("""COMPUTED_VALUE"""),"刘婴")</f>
        <v>刘婴</v>
      </c>
      <c r="G19" s="1">
        <f>IFERROR(__xludf.DUMMYFUNCTION("""COMPUTED_VALUE"""),6.0)</f>
        <v>6</v>
      </c>
      <c r="H19" s="1">
        <f>IFERROR(__xludf.DUMMYFUNCTION("""COMPUTED_VALUE"""),3.0)</f>
        <v>3</v>
      </c>
      <c r="I19" s="1" t="str">
        <f>IFERROR(__xludf.DUMMYFUNCTION("""COMPUTED_VALUE"""),"-")</f>
        <v>-</v>
      </c>
      <c r="J19" s="1">
        <f>IFERROR(__xludf.DUMMYFUNCTION("""COMPUTED_VALUE"""),8.0)</f>
        <v>8</v>
      </c>
      <c r="K19" s="1">
        <f>IFERROR(__xludf.DUMMYFUNCTION("""COMPUTED_VALUE"""),12.0)</f>
        <v>12</v>
      </c>
      <c r="L19" s="1" t="str">
        <f>IFERROR(__xludf.DUMMYFUNCTION("""COMPUTED_VALUE"""),"-")</f>
        <v>-</v>
      </c>
      <c r="M19" s="1" t="str">
        <f>IFERROR(__xludf.DUMMYFUNCTION("""COMPUTED_VALUE"""),"2年268天")</f>
        <v>2年268天</v>
      </c>
      <c r="N19" s="1" t="str">
        <f>IFERROR(__xludf.DUMMYFUNCTION("""COMPUTED_VALUE"""),"继承")</f>
        <v>继承</v>
      </c>
      <c r="O19" s="1" t="str">
        <f>IFERROR(__xludf.DUMMYFUNCTION("""COMPUTED_VALUE"""),"未正式登基，被王莽废黜")</f>
        <v>未正式登基，被王莽废黜</v>
      </c>
    </row>
    <row r="20">
      <c r="A20" s="1" t="str">
        <f>IFERROR(__xludf.DUMMYFUNCTION("SPLIT(CSV!A:A,"","")"),"新朝")</f>
        <v>新朝</v>
      </c>
      <c r="B20" s="1">
        <f>IFERROR(__xludf.DUMMYFUNCTION("""COMPUTED_VALUE"""),1.0)</f>
        <v>1</v>
      </c>
      <c r="C20" s="1" t="str">
        <f>IFERROR(__xludf.DUMMYFUNCTION("""COMPUTED_VALUE"""),"-")</f>
        <v>-</v>
      </c>
      <c r="D20" s="1" t="str">
        <f>IFERROR(__xludf.DUMMYFUNCTION("""COMPUTED_VALUE"""),"-")</f>
        <v>-</v>
      </c>
      <c r="E20" s="1" t="str">
        <f>IFERROR(__xludf.DUMMYFUNCTION("""COMPUTED_VALUE"""),"新朝皇帝")</f>
        <v>新朝皇帝</v>
      </c>
      <c r="F20" s="1" t="str">
        <f>IFERROR(__xludf.DUMMYFUNCTION("""COMPUTED_VALUE"""),"王莽")</f>
        <v>王莽</v>
      </c>
      <c r="G20" s="1">
        <f>IFERROR(__xludf.DUMMYFUNCTION("""COMPUTED_VALUE"""),9.0)</f>
        <v>9</v>
      </c>
      <c r="H20" s="1">
        <f>IFERROR(__xludf.DUMMYFUNCTION("""COMPUTED_VALUE"""),1.0)</f>
        <v>1</v>
      </c>
      <c r="I20" s="1">
        <f>IFERROR(__xludf.DUMMYFUNCTION("""COMPUTED_VALUE"""),10.0)</f>
        <v>10</v>
      </c>
      <c r="J20" s="1">
        <f>IFERROR(__xludf.DUMMYFUNCTION("""COMPUTED_VALUE"""),23.0)</f>
        <v>23</v>
      </c>
      <c r="K20" s="1">
        <f>IFERROR(__xludf.DUMMYFUNCTION("""COMPUTED_VALUE"""),10.0)</f>
        <v>10</v>
      </c>
      <c r="L20" s="1">
        <f>IFERROR(__xludf.DUMMYFUNCTION("""COMPUTED_VALUE"""),6.0)</f>
        <v>6</v>
      </c>
      <c r="M20" s="1" t="str">
        <f>IFERROR(__xludf.DUMMYFUNCTION("""COMPUTED_VALUE"""),"14年269天")</f>
        <v>14年269天</v>
      </c>
      <c r="N20" s="1" t="str">
        <f>IFERROR(__xludf.DUMMYFUNCTION("""COMPUTED_VALUE"""),"受禅")</f>
        <v>受禅</v>
      </c>
      <c r="O20" s="1" t="str">
        <f>IFERROR(__xludf.DUMMYFUNCTION("""COMPUTED_VALUE"""),"新朝建立者")</f>
        <v>新朝建立者</v>
      </c>
    </row>
    <row r="21">
      <c r="A21" s="1" t="str">
        <f>IFERROR(__xludf.DUMMYFUNCTION("SPLIT(CSV!A:A,"","")"),"东汉")</f>
        <v>东汉</v>
      </c>
      <c r="B21" s="1">
        <f>IFERROR(__xludf.DUMMYFUNCTION("""COMPUTED_VALUE"""),1.0)</f>
        <v>1</v>
      </c>
      <c r="C21" s="1" t="str">
        <f>IFERROR(__xludf.DUMMYFUNCTION("""COMPUTED_VALUE"""),"世祖")</f>
        <v>世祖</v>
      </c>
      <c r="D21" s="1" t="str">
        <f>IFERROR(__xludf.DUMMYFUNCTION("""COMPUTED_VALUE"""),"光武皇帝")</f>
        <v>光武皇帝</v>
      </c>
      <c r="E21" s="1" t="str">
        <f>IFERROR(__xludf.DUMMYFUNCTION("""COMPUTED_VALUE"""),"汉光武帝")</f>
        <v>汉光武帝</v>
      </c>
      <c r="F21" s="1" t="str">
        <f>IFERROR(__xludf.DUMMYFUNCTION("""COMPUTED_VALUE"""),"刘秀")</f>
        <v>刘秀</v>
      </c>
      <c r="G21" s="1">
        <f>IFERROR(__xludf.DUMMYFUNCTION("""COMPUTED_VALUE"""),25.0)</f>
        <v>25</v>
      </c>
      <c r="H21" s="1">
        <f>IFERROR(__xludf.DUMMYFUNCTION("""COMPUTED_VALUE"""),8.0)</f>
        <v>8</v>
      </c>
      <c r="I21" s="1">
        <f>IFERROR(__xludf.DUMMYFUNCTION("""COMPUTED_VALUE"""),5.0)</f>
        <v>5</v>
      </c>
      <c r="J21" s="1">
        <f>IFERROR(__xludf.DUMMYFUNCTION("""COMPUTED_VALUE"""),57.0)</f>
        <v>57</v>
      </c>
      <c r="K21" s="1">
        <f>IFERROR(__xludf.DUMMYFUNCTION("""COMPUTED_VALUE"""),3.0)</f>
        <v>3</v>
      </c>
      <c r="L21" s="1">
        <f>IFERROR(__xludf.DUMMYFUNCTION("""COMPUTED_VALUE"""),29.0)</f>
        <v>29</v>
      </c>
      <c r="M21" s="1" t="str">
        <f>IFERROR(__xludf.DUMMYFUNCTION("""COMPUTED_VALUE"""),"31年236天")</f>
        <v>31年236天</v>
      </c>
      <c r="N21" s="1" t="str">
        <f>IFERROR(__xludf.DUMMYFUNCTION("""COMPUTED_VALUE"""),"创业")</f>
        <v>创业</v>
      </c>
      <c r="O21" s="1" t="str">
        <f>IFERROR(__xludf.DUMMYFUNCTION("""COMPUTED_VALUE"""),"-")</f>
        <v>-</v>
      </c>
    </row>
    <row r="22">
      <c r="A22" s="1" t="str">
        <f>IFERROR(__xludf.DUMMYFUNCTION("SPLIT(CSV!A:A,"","")"),"东汉")</f>
        <v>东汉</v>
      </c>
      <c r="B22" s="1">
        <f>IFERROR(__xludf.DUMMYFUNCTION("""COMPUTED_VALUE"""),2.0)</f>
        <v>2</v>
      </c>
      <c r="C22" s="1" t="str">
        <f>IFERROR(__xludf.DUMMYFUNCTION("""COMPUTED_VALUE"""),"显宗")</f>
        <v>显宗</v>
      </c>
      <c r="D22" s="1" t="str">
        <f>IFERROR(__xludf.DUMMYFUNCTION("""COMPUTED_VALUE"""),"孝明皇帝")</f>
        <v>孝明皇帝</v>
      </c>
      <c r="E22" s="1" t="str">
        <f>IFERROR(__xludf.DUMMYFUNCTION("""COMPUTED_VALUE"""),"汉明帝")</f>
        <v>汉明帝</v>
      </c>
      <c r="F22" s="1" t="str">
        <f>IFERROR(__xludf.DUMMYFUNCTION("""COMPUTED_VALUE"""),"刘庄")</f>
        <v>刘庄</v>
      </c>
      <c r="G22" s="1">
        <f>IFERROR(__xludf.DUMMYFUNCTION("""COMPUTED_VALUE"""),57.0)</f>
        <v>57</v>
      </c>
      <c r="H22" s="1">
        <f>IFERROR(__xludf.DUMMYFUNCTION("""COMPUTED_VALUE"""),3.0)</f>
        <v>3</v>
      </c>
      <c r="I22" s="1">
        <f>IFERROR(__xludf.DUMMYFUNCTION("""COMPUTED_VALUE"""),29.0)</f>
        <v>29</v>
      </c>
      <c r="J22" s="1">
        <f>IFERROR(__xludf.DUMMYFUNCTION("""COMPUTED_VALUE"""),75.0)</f>
        <v>75</v>
      </c>
      <c r="K22" s="1">
        <f>IFERROR(__xludf.DUMMYFUNCTION("""COMPUTED_VALUE"""),9.0)</f>
        <v>9</v>
      </c>
      <c r="L22" s="1">
        <f>IFERROR(__xludf.DUMMYFUNCTION("""COMPUTED_VALUE"""),5.0)</f>
        <v>5</v>
      </c>
      <c r="M22" s="1" t="str">
        <f>IFERROR(__xludf.DUMMYFUNCTION("""COMPUTED_VALUE"""),"18年160天")</f>
        <v>18年160天</v>
      </c>
      <c r="N22" s="1" t="str">
        <f>IFERROR(__xludf.DUMMYFUNCTION("""COMPUTED_VALUE"""),"继承")</f>
        <v>继承</v>
      </c>
      <c r="O22" s="1" t="str">
        <f>IFERROR(__xludf.DUMMYFUNCTION("""COMPUTED_VALUE"""),"-")</f>
        <v>-</v>
      </c>
    </row>
    <row r="23">
      <c r="A23" s="1" t="str">
        <f>IFERROR(__xludf.DUMMYFUNCTION("SPLIT(CSV!A:A,"","")"),"东汉")</f>
        <v>东汉</v>
      </c>
      <c r="B23" s="1">
        <f>IFERROR(__xludf.DUMMYFUNCTION("""COMPUTED_VALUE"""),3.0)</f>
        <v>3</v>
      </c>
      <c r="C23" s="1" t="str">
        <f>IFERROR(__xludf.DUMMYFUNCTION("""COMPUTED_VALUE"""),"肃宗")</f>
        <v>肃宗</v>
      </c>
      <c r="D23" s="1" t="str">
        <f>IFERROR(__xludf.DUMMYFUNCTION("""COMPUTED_VALUE"""),"孝章皇帝")</f>
        <v>孝章皇帝</v>
      </c>
      <c r="E23" s="1" t="str">
        <f>IFERROR(__xludf.DUMMYFUNCTION("""COMPUTED_VALUE"""),"汉章帝")</f>
        <v>汉章帝</v>
      </c>
      <c r="F23" s="1" t="str">
        <f>IFERROR(__xludf.DUMMYFUNCTION("""COMPUTED_VALUE"""),"刘炟")</f>
        <v>刘炟</v>
      </c>
      <c r="G23" s="1">
        <f>IFERROR(__xludf.DUMMYFUNCTION("""COMPUTED_VALUE"""),75.0)</f>
        <v>75</v>
      </c>
      <c r="H23" s="1">
        <f>IFERROR(__xludf.DUMMYFUNCTION("""COMPUTED_VALUE"""),9.0)</f>
        <v>9</v>
      </c>
      <c r="I23" s="1">
        <f>IFERROR(__xludf.DUMMYFUNCTION("""COMPUTED_VALUE"""),5.0)</f>
        <v>5</v>
      </c>
      <c r="J23" s="1">
        <f>IFERROR(__xludf.DUMMYFUNCTION("""COMPUTED_VALUE"""),88.0)</f>
        <v>88</v>
      </c>
      <c r="K23" s="1">
        <f>IFERROR(__xludf.DUMMYFUNCTION("""COMPUTED_VALUE"""),4.0)</f>
        <v>4</v>
      </c>
      <c r="L23" s="1">
        <f>IFERROR(__xludf.DUMMYFUNCTION("""COMPUTED_VALUE"""),9.0)</f>
        <v>9</v>
      </c>
      <c r="M23" s="1" t="str">
        <f>IFERROR(__xludf.DUMMYFUNCTION("""COMPUTED_VALUE"""),"12年217天")</f>
        <v>12年217天</v>
      </c>
      <c r="N23" s="1" t="str">
        <f>IFERROR(__xludf.DUMMYFUNCTION("""COMPUTED_VALUE"""),"继承")</f>
        <v>继承</v>
      </c>
      <c r="O23" s="1" t="str">
        <f>IFERROR(__xludf.DUMMYFUNCTION("""COMPUTED_VALUE"""),"-")</f>
        <v>-</v>
      </c>
    </row>
    <row r="24">
      <c r="A24" s="1" t="str">
        <f>IFERROR(__xludf.DUMMYFUNCTION("SPLIT(CSV!A:A,"","")"),"东汉")</f>
        <v>东汉</v>
      </c>
      <c r="B24" s="1">
        <f>IFERROR(__xludf.DUMMYFUNCTION("""COMPUTED_VALUE"""),4.0)</f>
        <v>4</v>
      </c>
      <c r="C24" s="1" t="str">
        <f>IFERROR(__xludf.DUMMYFUNCTION("""COMPUTED_VALUE"""),"-")</f>
        <v>-</v>
      </c>
      <c r="D24" s="1" t="str">
        <f>IFERROR(__xludf.DUMMYFUNCTION("""COMPUTED_VALUE"""),"孝和皇帝")</f>
        <v>孝和皇帝</v>
      </c>
      <c r="E24" s="1" t="str">
        <f>IFERROR(__xludf.DUMMYFUNCTION("""COMPUTED_VALUE"""),"汉和帝")</f>
        <v>汉和帝</v>
      </c>
      <c r="F24" s="1" t="str">
        <f>IFERROR(__xludf.DUMMYFUNCTION("""COMPUTED_VALUE"""),"刘肇")</f>
        <v>刘肇</v>
      </c>
      <c r="G24" s="1">
        <f>IFERROR(__xludf.DUMMYFUNCTION("""COMPUTED_VALUE"""),88.0)</f>
        <v>88</v>
      </c>
      <c r="H24" s="1">
        <f>IFERROR(__xludf.DUMMYFUNCTION("""COMPUTED_VALUE"""),4.0)</f>
        <v>4</v>
      </c>
      <c r="I24" s="1">
        <f>IFERROR(__xludf.DUMMYFUNCTION("""COMPUTED_VALUE"""),9.0)</f>
        <v>9</v>
      </c>
      <c r="J24" s="1">
        <f>IFERROR(__xludf.DUMMYFUNCTION("""COMPUTED_VALUE"""),106.0)</f>
        <v>106</v>
      </c>
      <c r="K24" s="1">
        <f>IFERROR(__xludf.DUMMYFUNCTION("""COMPUTED_VALUE"""),2.0)</f>
        <v>2</v>
      </c>
      <c r="L24" s="1">
        <f>IFERROR(__xludf.DUMMYFUNCTION("""COMPUTED_VALUE"""),13.0)</f>
        <v>13</v>
      </c>
      <c r="M24" s="1" t="str">
        <f>IFERROR(__xludf.DUMMYFUNCTION("""COMPUTED_VALUE"""),"17年310天")</f>
        <v>17年310天</v>
      </c>
      <c r="N24" s="1" t="str">
        <f>IFERROR(__xludf.DUMMYFUNCTION("""COMPUTED_VALUE"""),"继承")</f>
        <v>继承</v>
      </c>
      <c r="O24" s="1" t="str">
        <f>IFERROR(__xludf.DUMMYFUNCTION("""COMPUTED_VALUE"""),"-")</f>
        <v>-</v>
      </c>
    </row>
    <row r="25">
      <c r="A25" s="1" t="str">
        <f>IFERROR(__xludf.DUMMYFUNCTION("SPLIT(CSV!A:A,"","")"),"东汉")</f>
        <v>东汉</v>
      </c>
      <c r="B25" s="1">
        <f>IFERROR(__xludf.DUMMYFUNCTION("""COMPUTED_VALUE"""),5.0)</f>
        <v>5</v>
      </c>
      <c r="C25" s="1" t="str">
        <f>IFERROR(__xludf.DUMMYFUNCTION("""COMPUTED_VALUE"""),"-")</f>
        <v>-</v>
      </c>
      <c r="D25" s="1" t="str">
        <f>IFERROR(__xludf.DUMMYFUNCTION("""COMPUTED_VALUE"""),"孝殇皇帝")</f>
        <v>孝殇皇帝</v>
      </c>
      <c r="E25" s="1" t="str">
        <f>IFERROR(__xludf.DUMMYFUNCTION("""COMPUTED_VALUE"""),"汉殇帝")</f>
        <v>汉殇帝</v>
      </c>
      <c r="F25" s="1" t="str">
        <f>IFERROR(__xludf.DUMMYFUNCTION("""COMPUTED_VALUE"""),"刘隆")</f>
        <v>刘隆</v>
      </c>
      <c r="G25" s="1">
        <f>IFERROR(__xludf.DUMMYFUNCTION("""COMPUTED_VALUE"""),106.0)</f>
        <v>106</v>
      </c>
      <c r="H25" s="1">
        <f>IFERROR(__xludf.DUMMYFUNCTION("""COMPUTED_VALUE"""),2.0)</f>
        <v>2</v>
      </c>
      <c r="I25" s="1">
        <f>IFERROR(__xludf.DUMMYFUNCTION("""COMPUTED_VALUE"""),13.0)</f>
        <v>13</v>
      </c>
      <c r="J25" s="1">
        <f>IFERROR(__xludf.DUMMYFUNCTION("""COMPUTED_VALUE"""),106.0)</f>
        <v>106</v>
      </c>
      <c r="K25" s="1">
        <f>IFERROR(__xludf.DUMMYFUNCTION("""COMPUTED_VALUE"""),9.0)</f>
        <v>9</v>
      </c>
      <c r="L25" s="1">
        <f>IFERROR(__xludf.DUMMYFUNCTION("""COMPUTED_VALUE"""),21.0)</f>
        <v>21</v>
      </c>
      <c r="M25" s="1" t="str">
        <f>IFERROR(__xludf.DUMMYFUNCTION("""COMPUTED_VALUE"""),"220天")</f>
        <v>220天</v>
      </c>
      <c r="N25" s="1" t="str">
        <f>IFERROR(__xludf.DUMMYFUNCTION("""COMPUTED_VALUE"""),"继承")</f>
        <v>继承</v>
      </c>
      <c r="O25" s="1" t="str">
        <f>IFERROR(__xludf.DUMMYFUNCTION("""COMPUTED_VALUE"""),"-")</f>
        <v>-</v>
      </c>
    </row>
    <row r="26">
      <c r="A26" s="1" t="str">
        <f>IFERROR(__xludf.DUMMYFUNCTION("SPLIT(CSV!A:A,"","")"),"东汉")</f>
        <v>东汉</v>
      </c>
      <c r="B26" s="1">
        <f>IFERROR(__xludf.DUMMYFUNCTION("""COMPUTED_VALUE"""),6.0)</f>
        <v>6</v>
      </c>
      <c r="C26" s="1" t="str">
        <f>IFERROR(__xludf.DUMMYFUNCTION("""COMPUTED_VALUE"""),"-")</f>
        <v>-</v>
      </c>
      <c r="D26" s="1" t="str">
        <f>IFERROR(__xludf.DUMMYFUNCTION("""COMPUTED_VALUE"""),"孝安皇帝")</f>
        <v>孝安皇帝</v>
      </c>
      <c r="E26" s="1" t="str">
        <f>IFERROR(__xludf.DUMMYFUNCTION("""COMPUTED_VALUE"""),"汉安帝")</f>
        <v>汉安帝</v>
      </c>
      <c r="F26" s="1" t="str">
        <f>IFERROR(__xludf.DUMMYFUNCTION("""COMPUTED_VALUE"""),"刘祜")</f>
        <v>刘祜</v>
      </c>
      <c r="G26" s="1">
        <f>IFERROR(__xludf.DUMMYFUNCTION("""COMPUTED_VALUE"""),106.0)</f>
        <v>106</v>
      </c>
      <c r="H26" s="1">
        <f>IFERROR(__xludf.DUMMYFUNCTION("""COMPUTED_VALUE"""),9.0)</f>
        <v>9</v>
      </c>
      <c r="I26" s="1">
        <f>IFERROR(__xludf.DUMMYFUNCTION("""COMPUTED_VALUE"""),21.0)</f>
        <v>21</v>
      </c>
      <c r="J26" s="1">
        <f>IFERROR(__xludf.DUMMYFUNCTION("""COMPUTED_VALUE"""),125.0)</f>
        <v>125</v>
      </c>
      <c r="K26" s="1">
        <f>IFERROR(__xludf.DUMMYFUNCTION("""COMPUTED_VALUE"""),4.0)</f>
        <v>4</v>
      </c>
      <c r="L26" s="1">
        <f>IFERROR(__xludf.DUMMYFUNCTION("""COMPUTED_VALUE"""),30.0)</f>
        <v>30</v>
      </c>
      <c r="M26" s="1" t="str">
        <f>IFERROR(__xludf.DUMMYFUNCTION("""COMPUTED_VALUE"""),"18年221天")</f>
        <v>18年221天</v>
      </c>
      <c r="N26" s="1" t="str">
        <f>IFERROR(__xludf.DUMMYFUNCTION("""COMPUTED_VALUE"""),"继承")</f>
        <v>继承</v>
      </c>
      <c r="O26" s="1" t="str">
        <f>IFERROR(__xludf.DUMMYFUNCTION("""COMPUTED_VALUE"""),"-")</f>
        <v>-</v>
      </c>
    </row>
    <row r="27">
      <c r="A27" s="1" t="str">
        <f>IFERROR(__xludf.DUMMYFUNCTION("SPLIT(CSV!A:A,"","")"),"东汉")</f>
        <v>东汉</v>
      </c>
      <c r="B27" s="1">
        <f>IFERROR(__xludf.DUMMYFUNCTION("""COMPUTED_VALUE"""),7.0)</f>
        <v>7</v>
      </c>
      <c r="C27" s="1" t="str">
        <f>IFERROR(__xludf.DUMMYFUNCTION("""COMPUTED_VALUE"""),"-")</f>
        <v>-</v>
      </c>
      <c r="D27" s="1" t="str">
        <f>IFERROR(__xludf.DUMMYFUNCTION("""COMPUTED_VALUE"""),"-")</f>
        <v>-</v>
      </c>
      <c r="E27" s="1" t="str">
        <f>IFERROR(__xludf.DUMMYFUNCTION("""COMPUTED_VALUE"""),"(前)少帝")</f>
        <v>(前)少帝</v>
      </c>
      <c r="F27" s="1" t="str">
        <f>IFERROR(__xludf.DUMMYFUNCTION("""COMPUTED_VALUE"""),"刘懿")</f>
        <v>刘懿</v>
      </c>
      <c r="G27" s="1">
        <f>IFERROR(__xludf.DUMMYFUNCTION("""COMPUTED_VALUE"""),125.0)</f>
        <v>125</v>
      </c>
      <c r="H27" s="1">
        <f>IFERROR(__xludf.DUMMYFUNCTION("""COMPUTED_VALUE"""),5.0)</f>
        <v>5</v>
      </c>
      <c r="I27" s="1">
        <f>IFERROR(__xludf.DUMMYFUNCTION("""COMPUTED_VALUE"""),18.0)</f>
        <v>18</v>
      </c>
      <c r="J27" s="1">
        <f>IFERROR(__xludf.DUMMYFUNCTION("""COMPUTED_VALUE"""),125.0)</f>
        <v>125</v>
      </c>
      <c r="K27" s="1">
        <f>IFERROR(__xludf.DUMMYFUNCTION("""COMPUTED_VALUE"""),12.0)</f>
        <v>12</v>
      </c>
      <c r="L27" s="1">
        <f>IFERROR(__xludf.DUMMYFUNCTION("""COMPUTED_VALUE"""),10.0)</f>
        <v>10</v>
      </c>
      <c r="M27" s="1" t="str">
        <f>IFERROR(__xludf.DUMMYFUNCTION("""COMPUTED_VALUE"""),"206天")</f>
        <v>206天</v>
      </c>
      <c r="N27" s="1" t="str">
        <f>IFERROR(__xludf.DUMMYFUNCTION("""COMPUTED_VALUE"""),"继承")</f>
        <v>继承</v>
      </c>
      <c r="O27" s="1" t="str">
        <f>IFERROR(__xludf.DUMMYFUNCTION("""COMPUTED_VALUE"""),"-")</f>
        <v>-</v>
      </c>
    </row>
    <row r="28">
      <c r="A28" s="1" t="str">
        <f>IFERROR(__xludf.DUMMYFUNCTION("SPLIT(CSV!A:A,"","")"),"东汉")</f>
        <v>东汉</v>
      </c>
      <c r="B28" s="1">
        <f>IFERROR(__xludf.DUMMYFUNCTION("""COMPUTED_VALUE"""),8.0)</f>
        <v>8</v>
      </c>
      <c r="C28" s="1" t="str">
        <f>IFERROR(__xludf.DUMMYFUNCTION("""COMPUTED_VALUE"""),"-")</f>
        <v>-</v>
      </c>
      <c r="D28" s="1" t="str">
        <f>IFERROR(__xludf.DUMMYFUNCTION("""COMPUTED_VALUE"""),"孝顺皇帝")</f>
        <v>孝顺皇帝</v>
      </c>
      <c r="E28" s="1" t="str">
        <f>IFERROR(__xludf.DUMMYFUNCTION("""COMPUTED_VALUE"""),"汉顺帝")</f>
        <v>汉顺帝</v>
      </c>
      <c r="F28" s="1" t="str">
        <f>IFERROR(__xludf.DUMMYFUNCTION("""COMPUTED_VALUE"""),"刘保")</f>
        <v>刘保</v>
      </c>
      <c r="G28" s="1">
        <f>IFERROR(__xludf.DUMMYFUNCTION("""COMPUTED_VALUE"""),125.0)</f>
        <v>125</v>
      </c>
      <c r="H28" s="1">
        <f>IFERROR(__xludf.DUMMYFUNCTION("""COMPUTED_VALUE"""),12.0)</f>
        <v>12</v>
      </c>
      <c r="I28" s="1">
        <f>IFERROR(__xludf.DUMMYFUNCTION("""COMPUTED_VALUE"""),16.0)</f>
        <v>16</v>
      </c>
      <c r="J28" s="1">
        <f>IFERROR(__xludf.DUMMYFUNCTION("""COMPUTED_VALUE"""),144.0)</f>
        <v>144</v>
      </c>
      <c r="K28" s="1">
        <f>IFERROR(__xludf.DUMMYFUNCTION("""COMPUTED_VALUE"""),9.0)</f>
        <v>9</v>
      </c>
      <c r="L28" s="1">
        <f>IFERROR(__xludf.DUMMYFUNCTION("""COMPUTED_VALUE"""),20.0)</f>
        <v>20</v>
      </c>
      <c r="M28" s="1" t="str">
        <f>IFERROR(__xludf.DUMMYFUNCTION("""COMPUTED_VALUE"""),"18年278天")</f>
        <v>18年278天</v>
      </c>
      <c r="N28" s="1" t="str">
        <f>IFERROR(__xludf.DUMMYFUNCTION("""COMPUTED_VALUE"""),"政变")</f>
        <v>政变</v>
      </c>
      <c r="O28" s="1" t="str">
        <f>IFERROR(__xludf.DUMMYFUNCTION("""COMPUTED_VALUE"""),"-")</f>
        <v>-</v>
      </c>
    </row>
    <row r="29">
      <c r="A29" s="1" t="str">
        <f>IFERROR(__xludf.DUMMYFUNCTION("SPLIT(CSV!A:A,"","")"),"东汉")</f>
        <v>东汉</v>
      </c>
      <c r="B29" s="1">
        <f>IFERROR(__xludf.DUMMYFUNCTION("""COMPUTED_VALUE"""),9.0)</f>
        <v>9</v>
      </c>
      <c r="C29" s="1" t="str">
        <f>IFERROR(__xludf.DUMMYFUNCTION("""COMPUTED_VALUE"""),"-")</f>
        <v>-</v>
      </c>
      <c r="D29" s="1" t="str">
        <f>IFERROR(__xludf.DUMMYFUNCTION("""COMPUTED_VALUE"""),"孝冲皇帝")</f>
        <v>孝冲皇帝</v>
      </c>
      <c r="E29" s="1" t="str">
        <f>IFERROR(__xludf.DUMMYFUNCTION("""COMPUTED_VALUE"""),"汉冲帝")</f>
        <v>汉冲帝</v>
      </c>
      <c r="F29" s="1" t="str">
        <f>IFERROR(__xludf.DUMMYFUNCTION("""COMPUTED_VALUE"""),"刘炳")</f>
        <v>刘炳</v>
      </c>
      <c r="G29" s="1">
        <f>IFERROR(__xludf.DUMMYFUNCTION("""COMPUTED_VALUE"""),144.0)</f>
        <v>144</v>
      </c>
      <c r="H29" s="1">
        <f>IFERROR(__xludf.DUMMYFUNCTION("""COMPUTED_VALUE"""),9.0)</f>
        <v>9</v>
      </c>
      <c r="I29" s="1">
        <f>IFERROR(__xludf.DUMMYFUNCTION("""COMPUTED_VALUE"""),20.0)</f>
        <v>20</v>
      </c>
      <c r="J29" s="1">
        <f>IFERROR(__xludf.DUMMYFUNCTION("""COMPUTED_VALUE"""),145.0)</f>
        <v>145</v>
      </c>
      <c r="K29" s="1">
        <f>IFERROR(__xludf.DUMMYFUNCTION("""COMPUTED_VALUE"""),2.0)</f>
        <v>2</v>
      </c>
      <c r="L29" s="1">
        <f>IFERROR(__xludf.DUMMYFUNCTION("""COMPUTED_VALUE"""),15.0)</f>
        <v>15</v>
      </c>
      <c r="M29" s="1" t="str">
        <f>IFERROR(__xludf.DUMMYFUNCTION("""COMPUTED_VALUE"""),"148天")</f>
        <v>148天</v>
      </c>
      <c r="N29" s="1" t="str">
        <f>IFERROR(__xludf.DUMMYFUNCTION("""COMPUTED_VALUE"""),"继承")</f>
        <v>继承</v>
      </c>
      <c r="O29" s="1" t="str">
        <f>IFERROR(__xludf.DUMMYFUNCTION("""COMPUTED_VALUE"""),"-")</f>
        <v>-</v>
      </c>
    </row>
    <row r="30">
      <c r="A30" s="1" t="str">
        <f>IFERROR(__xludf.DUMMYFUNCTION("SPLIT(CSV!A:A,"","")"),"东汉")</f>
        <v>东汉</v>
      </c>
      <c r="B30" s="1">
        <f>IFERROR(__xludf.DUMMYFUNCTION("""COMPUTED_VALUE"""),10.0)</f>
        <v>10</v>
      </c>
      <c r="C30" s="1" t="str">
        <f>IFERROR(__xludf.DUMMYFUNCTION("""COMPUTED_VALUE"""),"-")</f>
        <v>-</v>
      </c>
      <c r="D30" s="1" t="str">
        <f>IFERROR(__xludf.DUMMYFUNCTION("""COMPUTED_VALUE"""),"孝质皇帝")</f>
        <v>孝质皇帝</v>
      </c>
      <c r="E30" s="1" t="str">
        <f>IFERROR(__xludf.DUMMYFUNCTION("""COMPUTED_VALUE"""),"汉质帝")</f>
        <v>汉质帝</v>
      </c>
      <c r="F30" s="1" t="str">
        <f>IFERROR(__xludf.DUMMYFUNCTION("""COMPUTED_VALUE"""),"刘缵")</f>
        <v>刘缵</v>
      </c>
      <c r="G30" s="1">
        <f>IFERROR(__xludf.DUMMYFUNCTION("""COMPUTED_VALUE"""),145.0)</f>
        <v>145</v>
      </c>
      <c r="H30" s="1">
        <f>IFERROR(__xludf.DUMMYFUNCTION("""COMPUTED_VALUE"""),3.0)</f>
        <v>3</v>
      </c>
      <c r="I30" s="1">
        <f>IFERROR(__xludf.DUMMYFUNCTION("""COMPUTED_VALUE"""),6.0)</f>
        <v>6</v>
      </c>
      <c r="J30" s="1">
        <f>IFERROR(__xludf.DUMMYFUNCTION("""COMPUTED_VALUE"""),146.0)</f>
        <v>146</v>
      </c>
      <c r="K30" s="1">
        <f>IFERROR(__xludf.DUMMYFUNCTION("""COMPUTED_VALUE"""),7.0)</f>
        <v>7</v>
      </c>
      <c r="L30" s="1">
        <f>IFERROR(__xludf.DUMMYFUNCTION("""COMPUTED_VALUE"""),26.0)</f>
        <v>26</v>
      </c>
      <c r="M30" s="1" t="str">
        <f>IFERROR(__xludf.DUMMYFUNCTION("""COMPUTED_VALUE"""),"1年142天")</f>
        <v>1年142天</v>
      </c>
      <c r="N30" s="1" t="str">
        <f>IFERROR(__xludf.DUMMYFUNCTION("""COMPUTED_VALUE"""),"继承")</f>
        <v>继承</v>
      </c>
      <c r="O30" s="1" t="str">
        <f>IFERROR(__xludf.DUMMYFUNCTION("""COMPUTED_VALUE"""),"-")</f>
        <v>-</v>
      </c>
    </row>
    <row r="31">
      <c r="A31" s="1" t="str">
        <f>IFERROR(__xludf.DUMMYFUNCTION("SPLIT(CSV!A:A,"","")"),"东汉")</f>
        <v>东汉</v>
      </c>
      <c r="B31" s="1">
        <f>IFERROR(__xludf.DUMMYFUNCTION("""COMPUTED_VALUE"""),11.0)</f>
        <v>11</v>
      </c>
      <c r="C31" s="1" t="str">
        <f>IFERROR(__xludf.DUMMYFUNCTION("""COMPUTED_VALUE"""),"-")</f>
        <v>-</v>
      </c>
      <c r="D31" s="1" t="str">
        <f>IFERROR(__xludf.DUMMYFUNCTION("""COMPUTED_VALUE"""),"孝桓皇帝")</f>
        <v>孝桓皇帝</v>
      </c>
      <c r="E31" s="1" t="str">
        <f>IFERROR(__xludf.DUMMYFUNCTION("""COMPUTED_VALUE"""),"汉桓帝")</f>
        <v>汉桓帝</v>
      </c>
      <c r="F31" s="1" t="str">
        <f>IFERROR(__xludf.DUMMYFUNCTION("""COMPUTED_VALUE"""),"刘志")</f>
        <v>刘志</v>
      </c>
      <c r="G31" s="1">
        <f>IFERROR(__xludf.DUMMYFUNCTION("""COMPUTED_VALUE"""),146.0)</f>
        <v>146</v>
      </c>
      <c r="H31" s="1">
        <f>IFERROR(__xludf.DUMMYFUNCTION("""COMPUTED_VALUE"""),8.0)</f>
        <v>8</v>
      </c>
      <c r="I31" s="1">
        <f>IFERROR(__xludf.DUMMYFUNCTION("""COMPUTED_VALUE"""),1.0)</f>
        <v>1</v>
      </c>
      <c r="J31" s="1">
        <f>IFERROR(__xludf.DUMMYFUNCTION("""COMPUTED_VALUE"""),168.0)</f>
        <v>168</v>
      </c>
      <c r="K31" s="1">
        <f>IFERROR(__xludf.DUMMYFUNCTION("""COMPUTED_VALUE"""),1.0)</f>
        <v>1</v>
      </c>
      <c r="L31" s="1">
        <f>IFERROR(__xludf.DUMMYFUNCTION("""COMPUTED_VALUE"""),25.0)</f>
        <v>25</v>
      </c>
      <c r="M31" s="1" t="str">
        <f>IFERROR(__xludf.DUMMYFUNCTION("""COMPUTED_VALUE"""),"21年177天")</f>
        <v>21年177天</v>
      </c>
      <c r="N31" s="1" t="str">
        <f>IFERROR(__xludf.DUMMYFUNCTION("""COMPUTED_VALUE"""),"继承")</f>
        <v>继承</v>
      </c>
      <c r="O31" s="1" t="str">
        <f>IFERROR(__xludf.DUMMYFUNCTION("""COMPUTED_VALUE"""),"-")</f>
        <v>-</v>
      </c>
    </row>
    <row r="32">
      <c r="A32" s="1" t="str">
        <f>IFERROR(__xludf.DUMMYFUNCTION("SPLIT(CSV!A:A,"","")"),"东汉")</f>
        <v>东汉</v>
      </c>
      <c r="B32" s="1">
        <f>IFERROR(__xludf.DUMMYFUNCTION("""COMPUTED_VALUE"""),12.0)</f>
        <v>12</v>
      </c>
      <c r="C32" s="1" t="str">
        <f>IFERROR(__xludf.DUMMYFUNCTION("""COMPUTED_VALUE"""),"-")</f>
        <v>-</v>
      </c>
      <c r="D32" s="1" t="str">
        <f>IFERROR(__xludf.DUMMYFUNCTION("""COMPUTED_VALUE"""),"孝灵皇帝")</f>
        <v>孝灵皇帝</v>
      </c>
      <c r="E32" s="1" t="str">
        <f>IFERROR(__xludf.DUMMYFUNCTION("""COMPUTED_VALUE"""),"汉灵帝")</f>
        <v>汉灵帝</v>
      </c>
      <c r="F32" s="1" t="str">
        <f>IFERROR(__xludf.DUMMYFUNCTION("""COMPUTED_VALUE"""),"刘宏")</f>
        <v>刘宏</v>
      </c>
      <c r="G32" s="1">
        <f>IFERROR(__xludf.DUMMYFUNCTION("""COMPUTED_VALUE"""),168.0)</f>
        <v>168</v>
      </c>
      <c r="H32" s="1">
        <f>IFERROR(__xludf.DUMMYFUNCTION("""COMPUTED_VALUE"""),2.0)</f>
        <v>2</v>
      </c>
      <c r="I32" s="1">
        <f>IFERROR(__xludf.DUMMYFUNCTION("""COMPUTED_VALUE"""),17.0)</f>
        <v>17</v>
      </c>
      <c r="J32" s="1">
        <f>IFERROR(__xludf.DUMMYFUNCTION("""COMPUTED_VALUE"""),189.0)</f>
        <v>189</v>
      </c>
      <c r="K32" s="1">
        <f>IFERROR(__xludf.DUMMYFUNCTION("""COMPUTED_VALUE"""),5.0)</f>
        <v>5</v>
      </c>
      <c r="L32" s="1">
        <f>IFERROR(__xludf.DUMMYFUNCTION("""COMPUTED_VALUE"""),13.0)</f>
        <v>13</v>
      </c>
      <c r="M32" s="1" t="str">
        <f>IFERROR(__xludf.DUMMYFUNCTION("""COMPUTED_VALUE"""),"21年85天")</f>
        <v>21年85天</v>
      </c>
      <c r="N32" s="1" t="str">
        <f>IFERROR(__xludf.DUMMYFUNCTION("""COMPUTED_VALUE"""),"继承")</f>
        <v>继承</v>
      </c>
      <c r="O32" s="1" t="str">
        <f>IFERROR(__xludf.DUMMYFUNCTION("""COMPUTED_VALUE"""),"-")</f>
        <v>-</v>
      </c>
    </row>
    <row r="33">
      <c r="A33" s="1" t="str">
        <f>IFERROR(__xludf.DUMMYFUNCTION("SPLIT(CSV!A:A,"","")"),"东汉")</f>
        <v>东汉</v>
      </c>
      <c r="B33" s="1">
        <f>IFERROR(__xludf.DUMMYFUNCTION("""COMPUTED_VALUE"""),13.0)</f>
        <v>13</v>
      </c>
      <c r="C33" s="1" t="str">
        <f>IFERROR(__xludf.DUMMYFUNCTION("""COMPUTED_VALUE"""),"-")</f>
        <v>-</v>
      </c>
      <c r="D33" s="1" t="str">
        <f>IFERROR(__xludf.DUMMYFUNCTION("""COMPUTED_VALUE"""),"-")</f>
        <v>-</v>
      </c>
      <c r="E33" s="1" t="str">
        <f>IFERROR(__xludf.DUMMYFUNCTION("""COMPUTED_VALUE"""),"(后)少帝")</f>
        <v>(后)少帝</v>
      </c>
      <c r="F33" s="1" t="str">
        <f>IFERROR(__xludf.DUMMYFUNCTION("""COMPUTED_VALUE"""),"刘辩")</f>
        <v>刘辩</v>
      </c>
      <c r="G33" s="1">
        <f>IFERROR(__xludf.DUMMYFUNCTION("""COMPUTED_VALUE"""),189.0)</f>
        <v>189</v>
      </c>
      <c r="H33" s="1">
        <f>IFERROR(__xludf.DUMMYFUNCTION("""COMPUTED_VALUE"""),5.0)</f>
        <v>5</v>
      </c>
      <c r="I33" s="1">
        <f>IFERROR(__xludf.DUMMYFUNCTION("""COMPUTED_VALUE"""),15.0)</f>
        <v>15</v>
      </c>
      <c r="J33" s="1">
        <f>IFERROR(__xludf.DUMMYFUNCTION("""COMPUTED_VALUE"""),189.0)</f>
        <v>189</v>
      </c>
      <c r="K33" s="1">
        <f>IFERROR(__xludf.DUMMYFUNCTION("""COMPUTED_VALUE"""),9.0)</f>
        <v>9</v>
      </c>
      <c r="L33" s="1">
        <f>IFERROR(__xludf.DUMMYFUNCTION("""COMPUTED_VALUE"""),28.0)</f>
        <v>28</v>
      </c>
      <c r="M33" s="1" t="str">
        <f>IFERROR(__xludf.DUMMYFUNCTION("""COMPUTED_VALUE"""),"136天")</f>
        <v>136天</v>
      </c>
      <c r="N33" s="1" t="str">
        <f>IFERROR(__xludf.DUMMYFUNCTION("""COMPUTED_VALUE"""),"继承")</f>
        <v>继承</v>
      </c>
      <c r="O33" s="1" t="str">
        <f>IFERROR(__xludf.DUMMYFUNCTION("""COMPUTED_VALUE"""),"被废")</f>
        <v>被废</v>
      </c>
    </row>
    <row r="34">
      <c r="A34" s="1" t="str">
        <f>IFERROR(__xludf.DUMMYFUNCTION("SPLIT(CSV!A:A,"","")"),"东汉")</f>
        <v>东汉</v>
      </c>
      <c r="B34" s="1">
        <f>IFERROR(__xludf.DUMMYFUNCTION("""COMPUTED_VALUE"""),14.0)</f>
        <v>14</v>
      </c>
      <c r="C34" s="1" t="str">
        <f>IFERROR(__xludf.DUMMYFUNCTION("""COMPUTED_VALUE"""),"-")</f>
        <v>-</v>
      </c>
      <c r="D34" s="1" t="str">
        <f>IFERROR(__xludf.DUMMYFUNCTION("""COMPUTED_VALUE"""),"孝献皇帝")</f>
        <v>孝献皇帝</v>
      </c>
      <c r="E34" s="1" t="str">
        <f>IFERROR(__xludf.DUMMYFUNCTION("""COMPUTED_VALUE"""),"汉献帝")</f>
        <v>汉献帝</v>
      </c>
      <c r="F34" s="1" t="str">
        <f>IFERROR(__xludf.DUMMYFUNCTION("""COMPUTED_VALUE"""),"刘协")</f>
        <v>刘协</v>
      </c>
      <c r="G34" s="1">
        <f>IFERROR(__xludf.DUMMYFUNCTION("""COMPUTED_VALUE"""),189.0)</f>
        <v>189</v>
      </c>
      <c r="H34" s="1">
        <f>IFERROR(__xludf.DUMMYFUNCTION("""COMPUTED_VALUE"""),9.0)</f>
        <v>9</v>
      </c>
      <c r="I34" s="1">
        <f>IFERROR(__xludf.DUMMYFUNCTION("""COMPUTED_VALUE"""),28.0)</f>
        <v>28</v>
      </c>
      <c r="J34" s="1">
        <f>IFERROR(__xludf.DUMMYFUNCTION("""COMPUTED_VALUE"""),220.0)</f>
        <v>220</v>
      </c>
      <c r="K34" s="1">
        <f>IFERROR(__xludf.DUMMYFUNCTION("""COMPUTED_VALUE"""),11.0)</f>
        <v>11</v>
      </c>
      <c r="L34" s="1">
        <f>IFERROR(__xludf.DUMMYFUNCTION("""COMPUTED_VALUE"""),25.0)</f>
        <v>25</v>
      </c>
      <c r="M34" s="1" t="str">
        <f>IFERROR(__xludf.DUMMYFUNCTION("""COMPUTED_VALUE"""),"31年58天")</f>
        <v>31年58天</v>
      </c>
      <c r="N34" s="1" t="str">
        <f>IFERROR(__xludf.DUMMYFUNCTION("""COMPUTED_VALUE"""),"政变")</f>
        <v>政变</v>
      </c>
      <c r="O34" s="1" t="str">
        <f>IFERROR(__xludf.DUMMYFUNCTION("""COMPUTED_VALUE"""),"禅位于曹丕")</f>
        <v>禅位于曹丕</v>
      </c>
    </row>
    <row r="35">
      <c r="A35" s="1" t="str">
        <f>IFERROR(__xludf.DUMMYFUNCTION("SPLIT(CSV!A:A,"","")"),"曹魏")</f>
        <v>曹魏</v>
      </c>
      <c r="B35" s="1">
        <f>IFERROR(__xludf.DUMMYFUNCTION("""COMPUTED_VALUE"""),1.0)</f>
        <v>1</v>
      </c>
      <c r="C35" s="1" t="str">
        <f>IFERROR(__xludf.DUMMYFUNCTION("""COMPUTED_VALUE"""),"高祖/世祖")</f>
        <v>高祖/世祖</v>
      </c>
      <c r="D35" s="1" t="str">
        <f>IFERROR(__xludf.DUMMYFUNCTION("""COMPUTED_VALUE"""),"文帝")</f>
        <v>文帝</v>
      </c>
      <c r="E35" s="1" t="str">
        <f>IFERROR(__xludf.DUMMYFUNCTION("""COMPUTED_VALUE"""),"魏文帝")</f>
        <v>魏文帝</v>
      </c>
      <c r="F35" s="1" t="str">
        <f>IFERROR(__xludf.DUMMYFUNCTION("""COMPUTED_VALUE"""),"曹丕")</f>
        <v>曹丕</v>
      </c>
      <c r="G35" s="1">
        <f>IFERROR(__xludf.DUMMYFUNCTION("""COMPUTED_VALUE"""),220.0)</f>
        <v>220</v>
      </c>
      <c r="H35" s="1">
        <f>IFERROR(__xludf.DUMMYFUNCTION("""COMPUTED_VALUE"""),12.0)</f>
        <v>12</v>
      </c>
      <c r="I35" s="1">
        <f>IFERROR(__xludf.DUMMYFUNCTION("""COMPUTED_VALUE"""),11.0)</f>
        <v>11</v>
      </c>
      <c r="J35" s="1">
        <f>IFERROR(__xludf.DUMMYFUNCTION("""COMPUTED_VALUE"""),226.0)</f>
        <v>226</v>
      </c>
      <c r="K35" s="1">
        <f>IFERROR(__xludf.DUMMYFUNCTION("""COMPUTED_VALUE"""),6.0)</f>
        <v>6</v>
      </c>
      <c r="L35" s="1">
        <f>IFERROR(__xludf.DUMMYFUNCTION("""COMPUTED_VALUE"""),29.0)</f>
        <v>29</v>
      </c>
      <c r="M35" s="1" t="str">
        <f>IFERROR(__xludf.DUMMYFUNCTION("""COMPUTED_VALUE"""),"5年200天")</f>
        <v>5年200天</v>
      </c>
      <c r="N35" s="1" t="str">
        <f>IFERROR(__xludf.DUMMYFUNCTION("""COMPUTED_VALUE"""),"受禅")</f>
        <v>受禅</v>
      </c>
      <c r="O35" s="1" t="str">
        <f>IFERROR(__xludf.DUMMYFUNCTION("""COMPUTED_VALUE"""),"受汉献帝禅让")</f>
        <v>受汉献帝禅让</v>
      </c>
    </row>
    <row r="36">
      <c r="A36" s="1" t="str">
        <f>IFERROR(__xludf.DUMMYFUNCTION("SPLIT(CSV!A:A,"","")"),"曹魏")</f>
        <v>曹魏</v>
      </c>
      <c r="B36" s="1">
        <f>IFERROR(__xludf.DUMMYFUNCTION("""COMPUTED_VALUE"""),2.0)</f>
        <v>2</v>
      </c>
      <c r="C36" s="1" t="str">
        <f>IFERROR(__xludf.DUMMYFUNCTION("""COMPUTED_VALUE"""),"烈祖")</f>
        <v>烈祖</v>
      </c>
      <c r="D36" s="1" t="str">
        <f>IFERROR(__xludf.DUMMYFUNCTION("""COMPUTED_VALUE"""),"明帝")</f>
        <v>明帝</v>
      </c>
      <c r="E36" s="1" t="str">
        <f>IFERROR(__xludf.DUMMYFUNCTION("""COMPUTED_VALUE"""),"魏明帝")</f>
        <v>魏明帝</v>
      </c>
      <c r="F36" s="1" t="str">
        <f>IFERROR(__xludf.DUMMYFUNCTION("""COMPUTED_VALUE"""),"曹叡")</f>
        <v>曹叡</v>
      </c>
      <c r="G36" s="1">
        <f>IFERROR(__xludf.DUMMYFUNCTION("""COMPUTED_VALUE"""),226.0)</f>
        <v>226</v>
      </c>
      <c r="H36" s="1">
        <f>IFERROR(__xludf.DUMMYFUNCTION("""COMPUTED_VALUE"""),6.0)</f>
        <v>6</v>
      </c>
      <c r="I36" s="1">
        <f>IFERROR(__xludf.DUMMYFUNCTION("""COMPUTED_VALUE"""),29.0)</f>
        <v>29</v>
      </c>
      <c r="J36" s="1">
        <f>IFERROR(__xludf.DUMMYFUNCTION("""COMPUTED_VALUE"""),239.0)</f>
        <v>239</v>
      </c>
      <c r="K36" s="1">
        <f>IFERROR(__xludf.DUMMYFUNCTION("""COMPUTED_VALUE"""),1.0)</f>
        <v>1</v>
      </c>
      <c r="L36" s="1">
        <f>IFERROR(__xludf.DUMMYFUNCTION("""COMPUTED_VALUE"""),22.0)</f>
        <v>22</v>
      </c>
      <c r="M36" s="1" t="str">
        <f>IFERROR(__xludf.DUMMYFUNCTION("""COMPUTED_VALUE"""),"12年207天")</f>
        <v>12年207天</v>
      </c>
      <c r="N36" s="1" t="str">
        <f>IFERROR(__xludf.DUMMYFUNCTION("""COMPUTED_VALUE"""),"继承")</f>
        <v>继承</v>
      </c>
      <c r="O36" s="1" t="str">
        <f>IFERROR(__xludf.DUMMYFUNCTION("""COMPUTED_VALUE"""),"-")</f>
        <v>-</v>
      </c>
    </row>
    <row r="37">
      <c r="A37" s="1" t="str">
        <f>IFERROR(__xludf.DUMMYFUNCTION("SPLIT(CSV!A:A,"","")"),"曹魏")</f>
        <v>曹魏</v>
      </c>
      <c r="B37" s="1">
        <f>IFERROR(__xludf.DUMMYFUNCTION("""COMPUTED_VALUE"""),3.0)</f>
        <v>3</v>
      </c>
      <c r="C37" s="1" t="str">
        <f>IFERROR(__xludf.DUMMYFUNCTION("""COMPUTED_VALUE"""),"-")</f>
        <v>-</v>
      </c>
      <c r="D37" s="1" t="str">
        <f>IFERROR(__xludf.DUMMYFUNCTION("""COMPUTED_VALUE"""),"-")</f>
        <v>-</v>
      </c>
      <c r="E37" s="1" t="str">
        <f>IFERROR(__xludf.DUMMYFUNCTION("""COMPUTED_VALUE"""),"齐王/邵陵厉公")</f>
        <v>齐王/邵陵厉公</v>
      </c>
      <c r="F37" s="1" t="str">
        <f>IFERROR(__xludf.DUMMYFUNCTION("""COMPUTED_VALUE"""),"曹芳")</f>
        <v>曹芳</v>
      </c>
      <c r="G37" s="1">
        <f>IFERROR(__xludf.DUMMYFUNCTION("""COMPUTED_VALUE"""),239.0)</f>
        <v>239</v>
      </c>
      <c r="H37" s="1">
        <f>IFERROR(__xludf.DUMMYFUNCTION("""COMPUTED_VALUE"""),1.0)</f>
        <v>1</v>
      </c>
      <c r="I37" s="1">
        <f>IFERROR(__xludf.DUMMYFUNCTION("""COMPUTED_VALUE"""),22.0)</f>
        <v>22</v>
      </c>
      <c r="J37" s="1">
        <f>IFERROR(__xludf.DUMMYFUNCTION("""COMPUTED_VALUE"""),254.0)</f>
        <v>254</v>
      </c>
      <c r="K37" s="1">
        <f>IFERROR(__xludf.DUMMYFUNCTION("""COMPUTED_VALUE"""),10.0)</f>
        <v>10</v>
      </c>
      <c r="L37" s="1">
        <f>IFERROR(__xludf.DUMMYFUNCTION("""COMPUTED_VALUE"""),17.0)</f>
        <v>17</v>
      </c>
      <c r="M37" s="1" t="str">
        <f>IFERROR(__xludf.DUMMYFUNCTION("""COMPUTED_VALUE"""),"15年268天")</f>
        <v>15年268天</v>
      </c>
      <c r="N37" s="1" t="str">
        <f>IFERROR(__xludf.DUMMYFUNCTION("""COMPUTED_VALUE"""),"继承")</f>
        <v>继承</v>
      </c>
      <c r="O37" s="1" t="str">
        <f>IFERROR(__xludf.DUMMYFUNCTION("""COMPUTED_VALUE"""),"被权臣司马师废黜")</f>
        <v>被权臣司马师废黜</v>
      </c>
    </row>
    <row r="38">
      <c r="A38" s="1" t="str">
        <f>IFERROR(__xludf.DUMMYFUNCTION("SPLIT(CSV!A:A,"","")"),"曹魏")</f>
        <v>曹魏</v>
      </c>
      <c r="B38" s="1">
        <f>IFERROR(__xludf.DUMMYFUNCTION("""COMPUTED_VALUE"""),4.0)</f>
        <v>4</v>
      </c>
      <c r="C38" s="1" t="str">
        <f>IFERROR(__xludf.DUMMYFUNCTION("""COMPUTED_VALUE"""),"-")</f>
        <v>-</v>
      </c>
      <c r="D38" s="1" t="str">
        <f>IFERROR(__xludf.DUMMYFUNCTION("""COMPUTED_VALUE"""),"-")</f>
        <v>-</v>
      </c>
      <c r="E38" s="1" t="str">
        <f>IFERROR(__xludf.DUMMYFUNCTION("""COMPUTED_VALUE"""),"高贵乡公")</f>
        <v>高贵乡公</v>
      </c>
      <c r="F38" s="1" t="str">
        <f>IFERROR(__xludf.DUMMYFUNCTION("""COMPUTED_VALUE"""),"曹髦")</f>
        <v>曹髦</v>
      </c>
      <c r="G38" s="1">
        <f>IFERROR(__xludf.DUMMYFUNCTION("""COMPUTED_VALUE"""),254.0)</f>
        <v>254</v>
      </c>
      <c r="H38" s="1">
        <f>IFERROR(__xludf.DUMMYFUNCTION("""COMPUTED_VALUE"""),11.0)</f>
        <v>11</v>
      </c>
      <c r="I38" s="1">
        <f>IFERROR(__xludf.DUMMYFUNCTION("""COMPUTED_VALUE"""),1.0)</f>
        <v>1</v>
      </c>
      <c r="J38" s="1">
        <f>IFERROR(__xludf.DUMMYFUNCTION("""COMPUTED_VALUE"""),260.0)</f>
        <v>260</v>
      </c>
      <c r="K38" s="1">
        <f>IFERROR(__xludf.DUMMYFUNCTION("""COMPUTED_VALUE"""),6.0)</f>
        <v>6</v>
      </c>
      <c r="L38" s="1">
        <f>IFERROR(__xludf.DUMMYFUNCTION("""COMPUTED_VALUE"""),2.0)</f>
        <v>2</v>
      </c>
      <c r="M38" s="1" t="str">
        <f>IFERROR(__xludf.DUMMYFUNCTION("""COMPUTED_VALUE"""),"5年214天")</f>
        <v>5年214天</v>
      </c>
      <c r="N38" s="1" t="str">
        <f>IFERROR(__xludf.DUMMYFUNCTION("""COMPUTED_VALUE"""),"继承")</f>
        <v>继承</v>
      </c>
      <c r="O38" s="1" t="str">
        <f>IFERROR(__xludf.DUMMYFUNCTION("""COMPUTED_VALUE"""),"讨伐司马昭时被弑")</f>
        <v>讨伐司马昭时被弑</v>
      </c>
    </row>
    <row r="39">
      <c r="A39" s="1" t="str">
        <f>IFERROR(__xludf.DUMMYFUNCTION("SPLIT(CSV!A:A,"","")"),"曹魏")</f>
        <v>曹魏</v>
      </c>
      <c r="B39" s="1">
        <f>IFERROR(__xludf.DUMMYFUNCTION("""COMPUTED_VALUE"""),5.0)</f>
        <v>5</v>
      </c>
      <c r="C39" s="1" t="str">
        <f>IFERROR(__xludf.DUMMYFUNCTION("""COMPUTED_VALUE"""),"-")</f>
        <v>-</v>
      </c>
      <c r="D39" s="1" t="str">
        <f>IFERROR(__xludf.DUMMYFUNCTION("""COMPUTED_VALUE"""),"元帝")</f>
        <v>元帝</v>
      </c>
      <c r="E39" s="1" t="str">
        <f>IFERROR(__xludf.DUMMYFUNCTION("""COMPUTED_VALUE"""),"魏元帝")</f>
        <v>魏元帝</v>
      </c>
      <c r="F39" s="1" t="str">
        <f>IFERROR(__xludf.DUMMYFUNCTION("""COMPUTED_VALUE"""),"曹奂")</f>
        <v>曹奂</v>
      </c>
      <c r="G39" s="1">
        <f>IFERROR(__xludf.DUMMYFUNCTION("""COMPUTED_VALUE"""),260.0)</f>
        <v>260</v>
      </c>
      <c r="H39" s="1">
        <f>IFERROR(__xludf.DUMMYFUNCTION("""COMPUTED_VALUE"""),6.0)</f>
        <v>6</v>
      </c>
      <c r="I39" s="1">
        <f>IFERROR(__xludf.DUMMYFUNCTION("""COMPUTED_VALUE"""),27.0)</f>
        <v>27</v>
      </c>
      <c r="J39" s="1">
        <f>IFERROR(__xludf.DUMMYFUNCTION("""COMPUTED_VALUE"""),266.0)</f>
        <v>266</v>
      </c>
      <c r="K39" s="1">
        <f>IFERROR(__xludf.DUMMYFUNCTION("""COMPUTED_VALUE"""),2.0)</f>
        <v>2</v>
      </c>
      <c r="L39" s="1">
        <f>IFERROR(__xludf.DUMMYFUNCTION("""COMPUTED_VALUE"""),4.0)</f>
        <v>4</v>
      </c>
      <c r="M39" s="1" t="str">
        <f>IFERROR(__xludf.DUMMYFUNCTION("""COMPUTED_VALUE"""),"5年222天")</f>
        <v>5年222天</v>
      </c>
      <c r="N39" s="1" t="str">
        <f>IFERROR(__xludf.DUMMYFUNCTION("""COMPUTED_VALUE"""),"继承")</f>
        <v>继承</v>
      </c>
      <c r="O39" s="1" t="str">
        <f>IFERROR(__xludf.DUMMYFUNCTION("""COMPUTED_VALUE"""),"禅位于司马炎")</f>
        <v>禅位于司马炎</v>
      </c>
    </row>
    <row r="40">
      <c r="A40" s="1" t="str">
        <f>IFERROR(__xludf.DUMMYFUNCTION("SPLIT(CSV!A:A,"","")"),"蜀汉")</f>
        <v>蜀汉</v>
      </c>
      <c r="B40" s="1">
        <f>IFERROR(__xludf.DUMMYFUNCTION("""COMPUTED_VALUE"""),1.0)</f>
        <v>1</v>
      </c>
      <c r="C40" s="1" t="str">
        <f>IFERROR(__xludf.DUMMYFUNCTION("""COMPUTED_VALUE"""),"-")</f>
        <v>-</v>
      </c>
      <c r="D40" s="1" t="str">
        <f>IFERROR(__xludf.DUMMYFUNCTION("""COMPUTED_VALUE"""),"昭烈帝")</f>
        <v>昭烈帝</v>
      </c>
      <c r="E40" s="1" t="str">
        <f>IFERROR(__xludf.DUMMYFUNCTION("""COMPUTED_VALUE"""),"汉昭烈帝")</f>
        <v>汉昭烈帝</v>
      </c>
      <c r="F40" s="1" t="str">
        <f>IFERROR(__xludf.DUMMYFUNCTION("""COMPUTED_VALUE"""),"刘备")</f>
        <v>刘备</v>
      </c>
      <c r="G40" s="1">
        <f>IFERROR(__xludf.DUMMYFUNCTION("""COMPUTED_VALUE"""),221.0)</f>
        <v>221</v>
      </c>
      <c r="H40" s="1">
        <f>IFERROR(__xludf.DUMMYFUNCTION("""COMPUTED_VALUE"""),5.0)</f>
        <v>5</v>
      </c>
      <c r="I40" s="1">
        <f>IFERROR(__xludf.DUMMYFUNCTION("""COMPUTED_VALUE"""),15.0)</f>
        <v>15</v>
      </c>
      <c r="J40" s="1">
        <f>IFERROR(__xludf.DUMMYFUNCTION("""COMPUTED_VALUE"""),223.0)</f>
        <v>223</v>
      </c>
      <c r="K40" s="1">
        <f>IFERROR(__xludf.DUMMYFUNCTION("""COMPUTED_VALUE"""),6.0)</f>
        <v>6</v>
      </c>
      <c r="L40" s="1">
        <f>IFERROR(__xludf.DUMMYFUNCTION("""COMPUTED_VALUE"""),10.0)</f>
        <v>10</v>
      </c>
      <c r="M40" s="1" t="str">
        <f>IFERROR(__xludf.DUMMYFUNCTION("""COMPUTED_VALUE"""),"2年26天")</f>
        <v>2年26天</v>
      </c>
      <c r="N40" s="1" t="str">
        <f>IFERROR(__xludf.DUMMYFUNCTION("""COMPUTED_VALUE"""),"创业")</f>
        <v>创业</v>
      </c>
      <c r="O40" s="1" t="str">
        <f>IFERROR(__xludf.DUMMYFUNCTION("""COMPUTED_VALUE"""),"-")</f>
        <v>-</v>
      </c>
    </row>
    <row r="41">
      <c r="A41" s="1" t="str">
        <f>IFERROR(__xludf.DUMMYFUNCTION("SPLIT(CSV!A:A,"","")"),"蜀汉")</f>
        <v>蜀汉</v>
      </c>
      <c r="B41" s="1">
        <f>IFERROR(__xludf.DUMMYFUNCTION("""COMPUTED_VALUE"""),2.0)</f>
        <v>2</v>
      </c>
      <c r="C41" s="1" t="str">
        <f>IFERROR(__xludf.DUMMYFUNCTION("""COMPUTED_VALUE"""),"-")</f>
        <v>-</v>
      </c>
      <c r="D41" s="1" t="str">
        <f>IFERROR(__xludf.DUMMYFUNCTION("""COMPUTED_VALUE"""),"-")</f>
        <v>-</v>
      </c>
      <c r="E41" s="1" t="str">
        <f>IFERROR(__xludf.DUMMYFUNCTION("""COMPUTED_VALUE"""),"后主")</f>
        <v>后主</v>
      </c>
      <c r="F41" s="1" t="str">
        <f>IFERROR(__xludf.DUMMYFUNCTION("""COMPUTED_VALUE"""),"刘禅")</f>
        <v>刘禅</v>
      </c>
      <c r="G41" s="1">
        <f>IFERROR(__xludf.DUMMYFUNCTION("""COMPUTED_VALUE"""),223.0)</f>
        <v>223</v>
      </c>
      <c r="H41" s="1">
        <f>IFERROR(__xludf.DUMMYFUNCTION("""COMPUTED_VALUE"""),6.0)</f>
        <v>6</v>
      </c>
      <c r="I41" s="1">
        <f>IFERROR(__xludf.DUMMYFUNCTION("""COMPUTED_VALUE"""),10.0)</f>
        <v>10</v>
      </c>
      <c r="J41" s="1">
        <f>IFERROR(__xludf.DUMMYFUNCTION("""COMPUTED_VALUE"""),263.0)</f>
        <v>263</v>
      </c>
      <c r="K41" s="1">
        <f>IFERROR(__xludf.DUMMYFUNCTION("""COMPUTED_VALUE"""),12.0)</f>
        <v>12</v>
      </c>
      <c r="L41" s="1">
        <f>IFERROR(__xludf.DUMMYFUNCTION("""COMPUTED_VALUE"""),23.0)</f>
        <v>23</v>
      </c>
      <c r="M41" s="1" t="str">
        <f>IFERROR(__xludf.DUMMYFUNCTION("""COMPUTED_VALUE"""),"40年196天")</f>
        <v>40年196天</v>
      </c>
      <c r="N41" s="1" t="str">
        <f>IFERROR(__xludf.DUMMYFUNCTION("""COMPUTED_VALUE"""),"继承")</f>
        <v>继承</v>
      </c>
      <c r="O41" s="1" t="str">
        <f>IFERROR(__xludf.DUMMYFUNCTION("""COMPUTED_VALUE"""),"投降邓艾，蜀汉亡")</f>
        <v>投降邓艾，蜀汉亡</v>
      </c>
    </row>
    <row r="42">
      <c r="A42" s="1" t="str">
        <f>IFERROR(__xludf.DUMMYFUNCTION("SPLIT(CSV!A:A,"","")"),"孙吴")</f>
        <v>孙吴</v>
      </c>
      <c r="B42" s="1">
        <f>IFERROR(__xludf.DUMMYFUNCTION("""COMPUTED_VALUE"""),1.0)</f>
        <v>1</v>
      </c>
      <c r="C42" s="1" t="str">
        <f>IFERROR(__xludf.DUMMYFUNCTION("""COMPUTED_VALUE"""),"太祖")</f>
        <v>太祖</v>
      </c>
      <c r="D42" s="1" t="str">
        <f>IFERROR(__xludf.DUMMYFUNCTION("""COMPUTED_VALUE"""),"大皇帝")</f>
        <v>大皇帝</v>
      </c>
      <c r="E42" s="1" t="str">
        <f>IFERROR(__xludf.DUMMYFUNCTION("""COMPUTED_VALUE"""),"吴大帝")</f>
        <v>吴大帝</v>
      </c>
      <c r="F42" s="1" t="str">
        <f>IFERROR(__xludf.DUMMYFUNCTION("""COMPUTED_VALUE"""),"孙权")</f>
        <v>孙权</v>
      </c>
      <c r="G42" s="1">
        <f>IFERROR(__xludf.DUMMYFUNCTION("""COMPUTED_VALUE"""),229.0)</f>
        <v>229</v>
      </c>
      <c r="H42" s="1">
        <f>IFERROR(__xludf.DUMMYFUNCTION("""COMPUTED_VALUE"""),5.0)</f>
        <v>5</v>
      </c>
      <c r="I42" s="1">
        <f>IFERROR(__xludf.DUMMYFUNCTION("""COMPUTED_VALUE"""),23.0)</f>
        <v>23</v>
      </c>
      <c r="J42" s="1">
        <f>IFERROR(__xludf.DUMMYFUNCTION("""COMPUTED_VALUE"""),252.0)</f>
        <v>252</v>
      </c>
      <c r="K42" s="1">
        <f>IFERROR(__xludf.DUMMYFUNCTION("""COMPUTED_VALUE"""),5.0)</f>
        <v>5</v>
      </c>
      <c r="L42" s="1">
        <f>IFERROR(__xludf.DUMMYFUNCTION("""COMPUTED_VALUE"""),21.0)</f>
        <v>21</v>
      </c>
      <c r="M42" s="1" t="str">
        <f>IFERROR(__xludf.DUMMYFUNCTION("""COMPUTED_VALUE"""),"22年363天")</f>
        <v>22年363天</v>
      </c>
      <c r="N42" s="1" t="str">
        <f>IFERROR(__xludf.DUMMYFUNCTION("""COMPUTED_VALUE"""),"创业")</f>
        <v>创业</v>
      </c>
      <c r="O42" s="1" t="str">
        <f>IFERROR(__xludf.DUMMYFUNCTION("""COMPUTED_VALUE"""),"-")</f>
        <v>-</v>
      </c>
    </row>
    <row r="43">
      <c r="A43" s="1" t="str">
        <f>IFERROR(__xludf.DUMMYFUNCTION("SPLIT(CSV!A:A,"","")"),"孙吴")</f>
        <v>孙吴</v>
      </c>
      <c r="B43" s="1">
        <f>IFERROR(__xludf.DUMMYFUNCTION("""COMPUTED_VALUE"""),2.0)</f>
        <v>2</v>
      </c>
      <c r="C43" s="1" t="str">
        <f>IFERROR(__xludf.DUMMYFUNCTION("""COMPUTED_VALUE"""),"-")</f>
        <v>-</v>
      </c>
      <c r="D43" s="1" t="str">
        <f>IFERROR(__xludf.DUMMYFUNCTION("""COMPUTED_VALUE"""),"-")</f>
        <v>-</v>
      </c>
      <c r="E43" s="1" t="str">
        <f>IFERROR(__xludf.DUMMYFUNCTION("""COMPUTED_VALUE"""),"会稽王")</f>
        <v>会稽王</v>
      </c>
      <c r="F43" s="1" t="str">
        <f>IFERROR(__xludf.DUMMYFUNCTION("""COMPUTED_VALUE"""),"孙亮")</f>
        <v>孙亮</v>
      </c>
      <c r="G43" s="1">
        <f>IFERROR(__xludf.DUMMYFUNCTION("""COMPUTED_VALUE"""),252.0)</f>
        <v>252</v>
      </c>
      <c r="H43" s="1">
        <f>IFERROR(__xludf.DUMMYFUNCTION("""COMPUTED_VALUE"""),5.0)</f>
        <v>5</v>
      </c>
      <c r="I43" s="1">
        <f>IFERROR(__xludf.DUMMYFUNCTION("""COMPUTED_VALUE"""),21.0)</f>
        <v>21</v>
      </c>
      <c r="J43" s="1">
        <f>IFERROR(__xludf.DUMMYFUNCTION("""COMPUTED_VALUE"""),258.0)</f>
        <v>258</v>
      </c>
      <c r="K43" s="1">
        <f>IFERROR(__xludf.DUMMYFUNCTION("""COMPUTED_VALUE"""),11.0)</f>
        <v>11</v>
      </c>
      <c r="L43" s="1">
        <f>IFERROR(__xludf.DUMMYFUNCTION("""COMPUTED_VALUE"""),26.0)</f>
        <v>26</v>
      </c>
      <c r="M43" s="1" t="str">
        <f>IFERROR(__xludf.DUMMYFUNCTION("""COMPUTED_VALUE"""),"6年189天")</f>
        <v>6年189天</v>
      </c>
      <c r="N43" s="1" t="str">
        <f>IFERROR(__xludf.DUMMYFUNCTION("""COMPUTED_VALUE"""),"继承")</f>
        <v>继承</v>
      </c>
      <c r="O43" s="1" t="str">
        <f>IFERROR(__xludf.DUMMYFUNCTION("""COMPUTED_VALUE"""),"被权臣孙綝废黜")</f>
        <v>被权臣孙綝废黜</v>
      </c>
    </row>
    <row r="44">
      <c r="A44" s="1" t="str">
        <f>IFERROR(__xludf.DUMMYFUNCTION("SPLIT(CSV!A:A,"","")"),"孙吴")</f>
        <v>孙吴</v>
      </c>
      <c r="B44" s="1">
        <f>IFERROR(__xludf.DUMMYFUNCTION("""COMPUTED_VALUE"""),3.0)</f>
        <v>3</v>
      </c>
      <c r="C44" s="1" t="str">
        <f>IFERROR(__xludf.DUMMYFUNCTION("""COMPUTED_VALUE"""),"-")</f>
        <v>-</v>
      </c>
      <c r="D44" s="1" t="str">
        <f>IFERROR(__xludf.DUMMYFUNCTION("""COMPUTED_VALUE"""),"景帝")</f>
        <v>景帝</v>
      </c>
      <c r="E44" s="1" t="str">
        <f>IFERROR(__xludf.DUMMYFUNCTION("""COMPUTED_VALUE"""),"吴景帝")</f>
        <v>吴景帝</v>
      </c>
      <c r="F44" s="1" t="str">
        <f>IFERROR(__xludf.DUMMYFUNCTION("""COMPUTED_VALUE"""),"孙休")</f>
        <v>孙休</v>
      </c>
      <c r="G44" s="1">
        <f>IFERROR(__xludf.DUMMYFUNCTION("""COMPUTED_VALUE"""),258.0)</f>
        <v>258</v>
      </c>
      <c r="H44" s="1">
        <f>IFERROR(__xludf.DUMMYFUNCTION("""COMPUTED_VALUE"""),11.0)</f>
        <v>11</v>
      </c>
      <c r="I44" s="1">
        <f>IFERROR(__xludf.DUMMYFUNCTION("""COMPUTED_VALUE"""),30.0)</f>
        <v>30</v>
      </c>
      <c r="J44" s="1">
        <f>IFERROR(__xludf.DUMMYFUNCTION("""COMPUTED_VALUE"""),264.0)</f>
        <v>264</v>
      </c>
      <c r="K44" s="1">
        <f>IFERROR(__xludf.DUMMYFUNCTION("""COMPUTED_VALUE"""),9.0)</f>
        <v>9</v>
      </c>
      <c r="L44" s="1">
        <f>IFERROR(__xludf.DUMMYFUNCTION("""COMPUTED_VALUE"""),3.0)</f>
        <v>3</v>
      </c>
      <c r="M44" s="1" t="str">
        <f>IFERROR(__xludf.DUMMYFUNCTION("""COMPUTED_VALUE"""),"5年277天")</f>
        <v>5年277天</v>
      </c>
      <c r="N44" s="1" t="str">
        <f>IFERROR(__xludf.DUMMYFUNCTION("""COMPUTED_VALUE"""),"继承")</f>
        <v>继承</v>
      </c>
      <c r="O44" s="1" t="str">
        <f>IFERROR(__xludf.DUMMYFUNCTION("""COMPUTED_VALUE"""),"-")</f>
        <v>-</v>
      </c>
    </row>
    <row r="45">
      <c r="A45" s="1" t="str">
        <f>IFERROR(__xludf.DUMMYFUNCTION("SPLIT(CSV!A:A,"","")"),"孙吴")</f>
        <v>孙吴</v>
      </c>
      <c r="B45" s="1">
        <f>IFERROR(__xludf.DUMMYFUNCTION("""COMPUTED_VALUE"""),4.0)</f>
        <v>4</v>
      </c>
      <c r="C45" s="1" t="str">
        <f>IFERROR(__xludf.DUMMYFUNCTION("""COMPUTED_VALUE"""),"-")</f>
        <v>-</v>
      </c>
      <c r="D45" s="1" t="str">
        <f>IFERROR(__xludf.DUMMYFUNCTION("""COMPUTED_VALUE"""),"-")</f>
        <v>-</v>
      </c>
      <c r="E45" s="1" t="str">
        <f>IFERROR(__xludf.DUMMYFUNCTION("""COMPUTED_VALUE"""),"末帝/归命侯")</f>
        <v>末帝/归命侯</v>
      </c>
      <c r="F45" s="1" t="str">
        <f>IFERROR(__xludf.DUMMYFUNCTION("""COMPUTED_VALUE"""),"孙皓")</f>
        <v>孙皓</v>
      </c>
      <c r="G45" s="1">
        <f>IFERROR(__xludf.DUMMYFUNCTION("""COMPUTED_VALUE"""),264.0)</f>
        <v>264</v>
      </c>
      <c r="H45" s="1">
        <f>IFERROR(__xludf.DUMMYFUNCTION("""COMPUTED_VALUE"""),10.0)</f>
        <v>10</v>
      </c>
      <c r="I45" s="1">
        <f>IFERROR(__xludf.DUMMYFUNCTION("""COMPUTED_VALUE"""),1.0)</f>
        <v>1</v>
      </c>
      <c r="J45" s="1">
        <f>IFERROR(__xludf.DUMMYFUNCTION("""COMPUTED_VALUE"""),280.0)</f>
        <v>280</v>
      </c>
      <c r="K45" s="1">
        <f>IFERROR(__xludf.DUMMYFUNCTION("""COMPUTED_VALUE"""),5.0)</f>
        <v>5</v>
      </c>
      <c r="L45" s="1">
        <f>IFERROR(__xludf.DUMMYFUNCTION("""COMPUTED_VALUE"""),1.0)</f>
        <v>1</v>
      </c>
      <c r="M45" s="1" t="str">
        <f>IFERROR(__xludf.DUMMYFUNCTION("""COMPUTED_VALUE"""),"15年212天")</f>
        <v>15年212天</v>
      </c>
      <c r="N45" s="1" t="str">
        <f>IFERROR(__xludf.DUMMYFUNCTION("""COMPUTED_VALUE"""),"继承")</f>
        <v>继承</v>
      </c>
      <c r="O45" s="1" t="str">
        <f>IFERROR(__xludf.DUMMYFUNCTION("""COMPUTED_VALUE"""),"投降西晋，孙吴亡")</f>
        <v>投降西晋，孙吴亡</v>
      </c>
    </row>
    <row r="46">
      <c r="A46" s="1" t="str">
        <f>IFERROR(__xludf.DUMMYFUNCTION("SPLIT(CSV!A:A,"","")"),"西晋")</f>
        <v>西晋</v>
      </c>
      <c r="B46" s="1">
        <f>IFERROR(__xludf.DUMMYFUNCTION("""COMPUTED_VALUE"""),1.0)</f>
        <v>1</v>
      </c>
      <c r="C46" s="1" t="str">
        <f>IFERROR(__xludf.DUMMYFUNCTION("""COMPUTED_VALUE"""),"世祖")</f>
        <v>世祖</v>
      </c>
      <c r="D46" s="1" t="str">
        <f>IFERROR(__xludf.DUMMYFUNCTION("""COMPUTED_VALUE"""),"武皇帝")</f>
        <v>武皇帝</v>
      </c>
      <c r="E46" s="1" t="str">
        <f>IFERROR(__xludf.DUMMYFUNCTION("""COMPUTED_VALUE"""),"晋武帝")</f>
        <v>晋武帝</v>
      </c>
      <c r="F46" s="1" t="str">
        <f>IFERROR(__xludf.DUMMYFUNCTION("""COMPUTED_VALUE"""),"司马炎")</f>
        <v>司马炎</v>
      </c>
      <c r="G46" s="1">
        <f>IFERROR(__xludf.DUMMYFUNCTION("""COMPUTED_VALUE"""),266.0)</f>
        <v>266</v>
      </c>
      <c r="H46" s="1">
        <f>IFERROR(__xludf.DUMMYFUNCTION("""COMPUTED_VALUE"""),2.0)</f>
        <v>2</v>
      </c>
      <c r="I46" s="1">
        <f>IFERROR(__xludf.DUMMYFUNCTION("""COMPUTED_VALUE"""),8.0)</f>
        <v>8</v>
      </c>
      <c r="J46" s="1">
        <f>IFERROR(__xludf.DUMMYFUNCTION("""COMPUTED_VALUE"""),290.0)</f>
        <v>290</v>
      </c>
      <c r="K46" s="1">
        <f>IFERROR(__xludf.DUMMYFUNCTION("""COMPUTED_VALUE"""),5.0)</f>
        <v>5</v>
      </c>
      <c r="L46" s="1">
        <f>IFERROR(__xludf.DUMMYFUNCTION("""COMPUTED_VALUE"""),16.0)</f>
        <v>16</v>
      </c>
      <c r="M46" s="1" t="str">
        <f>IFERROR(__xludf.DUMMYFUNCTION("""COMPUTED_VALUE"""),"24年97天")</f>
        <v>24年97天</v>
      </c>
      <c r="N46" s="1" t="str">
        <f>IFERROR(__xludf.DUMMYFUNCTION("""COMPUTED_VALUE"""),"受禅")</f>
        <v>受禅</v>
      </c>
      <c r="O46" s="1" t="str">
        <f>IFERROR(__xludf.DUMMYFUNCTION("""COMPUTED_VALUE"""),"-")</f>
        <v>-</v>
      </c>
    </row>
    <row r="47">
      <c r="A47" s="1" t="str">
        <f>IFERROR(__xludf.DUMMYFUNCTION("SPLIT(CSV!A:A,"","")"),"西晋")</f>
        <v>西晋</v>
      </c>
      <c r="B47" s="1">
        <f>IFERROR(__xludf.DUMMYFUNCTION("""COMPUTED_VALUE"""),2.0)</f>
        <v>2</v>
      </c>
      <c r="C47" s="1" t="str">
        <f>IFERROR(__xludf.DUMMYFUNCTION("""COMPUTED_VALUE"""),"-")</f>
        <v>-</v>
      </c>
      <c r="D47" s="1" t="str">
        <f>IFERROR(__xludf.DUMMYFUNCTION("""COMPUTED_VALUE"""),"孝惠皇帝")</f>
        <v>孝惠皇帝</v>
      </c>
      <c r="E47" s="1" t="str">
        <f>IFERROR(__xludf.DUMMYFUNCTION("""COMPUTED_VALUE"""),"晋惠帝")</f>
        <v>晋惠帝</v>
      </c>
      <c r="F47" s="1" t="str">
        <f>IFERROR(__xludf.DUMMYFUNCTION("""COMPUTED_VALUE"""),"司马衷")</f>
        <v>司马衷</v>
      </c>
      <c r="G47" s="1">
        <f>IFERROR(__xludf.DUMMYFUNCTION("""COMPUTED_VALUE"""),290.0)</f>
        <v>290</v>
      </c>
      <c r="H47" s="1">
        <f>IFERROR(__xludf.DUMMYFUNCTION("""COMPUTED_VALUE"""),5.0)</f>
        <v>5</v>
      </c>
      <c r="I47" s="1">
        <f>IFERROR(__xludf.DUMMYFUNCTION("""COMPUTED_VALUE"""),16.0)</f>
        <v>16</v>
      </c>
      <c r="J47" s="1">
        <f>IFERROR(__xludf.DUMMYFUNCTION("""COMPUTED_VALUE"""),307.0)</f>
        <v>307</v>
      </c>
      <c r="K47" s="1">
        <f>IFERROR(__xludf.DUMMYFUNCTION("""COMPUTED_VALUE"""),1.0)</f>
        <v>1</v>
      </c>
      <c r="L47" s="1">
        <f>IFERROR(__xludf.DUMMYFUNCTION("""COMPUTED_VALUE"""),8.0)</f>
        <v>8</v>
      </c>
      <c r="M47" s="1" t="str">
        <f>IFERROR(__xludf.DUMMYFUNCTION("""COMPUTED_VALUE"""),"16年237天")</f>
        <v>16年237天</v>
      </c>
      <c r="N47" s="1" t="str">
        <f>IFERROR(__xludf.DUMMYFUNCTION("""COMPUTED_VALUE"""),"继承")</f>
        <v>继承</v>
      </c>
      <c r="O47" s="1" t="str">
        <f>IFERROR(__xludf.DUMMYFUNCTION("""COMPUTED_VALUE"""),"曾被司马伦篡位，后复位")</f>
        <v>曾被司马伦篡位，后复位</v>
      </c>
    </row>
    <row r="48">
      <c r="A48" s="1" t="str">
        <f>IFERROR(__xludf.DUMMYFUNCTION("SPLIT(CSV!A:A,"","")"),"西晋")</f>
        <v>西晋</v>
      </c>
      <c r="B48" s="1">
        <f>IFERROR(__xludf.DUMMYFUNCTION("""COMPUTED_VALUE"""),3.0)</f>
        <v>3</v>
      </c>
      <c r="C48" s="1" t="str">
        <f>IFERROR(__xludf.DUMMYFUNCTION("""COMPUTED_VALUE"""),"-")</f>
        <v>-</v>
      </c>
      <c r="D48" s="1" t="str">
        <f>IFERROR(__xludf.DUMMYFUNCTION("""COMPUTED_VALUE"""),"-")</f>
        <v>-</v>
      </c>
      <c r="E48" s="1" t="str">
        <f>IFERROR(__xludf.DUMMYFUNCTION("""COMPUTED_VALUE"""),"-")</f>
        <v>-</v>
      </c>
      <c r="F48" s="1" t="str">
        <f>IFERROR(__xludf.DUMMYFUNCTION("""COMPUTED_VALUE"""),"司马伦")</f>
        <v>司马伦</v>
      </c>
      <c r="G48" s="1">
        <f>IFERROR(__xludf.DUMMYFUNCTION("""COMPUTED_VALUE"""),301.0)</f>
        <v>301</v>
      </c>
      <c r="H48" s="1">
        <f>IFERROR(__xludf.DUMMYFUNCTION("""COMPUTED_VALUE"""),1.0)</f>
        <v>1</v>
      </c>
      <c r="I48" s="1" t="str">
        <f>IFERROR(__xludf.DUMMYFUNCTION("""COMPUTED_VALUE"""),"-")</f>
        <v>-</v>
      </c>
      <c r="J48" s="1">
        <f>IFERROR(__xludf.DUMMYFUNCTION("""COMPUTED_VALUE"""),301.0)</f>
        <v>301</v>
      </c>
      <c r="K48" s="1">
        <f>IFERROR(__xludf.DUMMYFUNCTION("""COMPUTED_VALUE"""),6.0)</f>
        <v>6</v>
      </c>
      <c r="L48" s="1" t="str">
        <f>IFERROR(__xludf.DUMMYFUNCTION("""COMPUTED_VALUE"""),"-")</f>
        <v>-</v>
      </c>
      <c r="M48" s="1" t="str">
        <f>IFERROR(__xludf.DUMMYFUNCTION("""COMPUTED_VALUE"""),"约数月")</f>
        <v>约数月</v>
      </c>
      <c r="N48" s="1" t="str">
        <f>IFERROR(__xludf.DUMMYFUNCTION("""COMPUTED_VALUE"""),"篡位")</f>
        <v>篡位</v>
      </c>
      <c r="O48" s="1" t="str">
        <f>IFERROR(__xludf.DUMMYFUNCTION("""COMPUTED_VALUE"""),"篡位，未被普遍视为正统皇帝")</f>
        <v>篡位，未被普遍视为正统皇帝</v>
      </c>
    </row>
    <row r="49">
      <c r="A49" s="1" t="str">
        <f>IFERROR(__xludf.DUMMYFUNCTION("SPLIT(CSV!A:A,"","")"),"前凉")</f>
        <v>前凉</v>
      </c>
      <c r="B49" s="1">
        <f>IFERROR(__xludf.DUMMYFUNCTION("""COMPUTED_VALUE"""),1.0)</f>
        <v>1</v>
      </c>
      <c r="C49" s="1" t="str">
        <f>IFERROR(__xludf.DUMMYFUNCTION("""COMPUTED_VALUE"""),"-")</f>
        <v>-</v>
      </c>
      <c r="D49" s="1" t="str">
        <f>IFERROR(__xludf.DUMMYFUNCTION("""COMPUTED_VALUE"""),"武穆公/昭王")</f>
        <v>武穆公/昭王</v>
      </c>
      <c r="E49" s="1" t="str">
        <f>IFERROR(__xludf.DUMMYFUNCTION("""COMPUTED_VALUE"""),"张轨")</f>
        <v>张轨</v>
      </c>
      <c r="F49" s="1" t="str">
        <f>IFERROR(__xludf.DUMMYFUNCTION("""COMPUTED_VALUE"""),"张轨")</f>
        <v>张轨</v>
      </c>
      <c r="G49" s="1">
        <f>IFERROR(__xludf.DUMMYFUNCTION("""COMPUTED_VALUE"""),301.0)</f>
        <v>301</v>
      </c>
      <c r="H49" s="1">
        <f>IFERROR(__xludf.DUMMYFUNCTION("""COMPUTED_VALUE"""),2.0)</f>
        <v>2</v>
      </c>
      <c r="I49" s="1" t="str">
        <f>IFERROR(__xludf.DUMMYFUNCTION("""COMPUTED_VALUE"""),"-")</f>
        <v>-</v>
      </c>
      <c r="J49" s="1">
        <f>IFERROR(__xludf.DUMMYFUNCTION("""COMPUTED_VALUE"""),314.0)</f>
        <v>314</v>
      </c>
      <c r="K49" s="1">
        <f>IFERROR(__xludf.DUMMYFUNCTION("""COMPUTED_VALUE"""),5.0)</f>
        <v>5</v>
      </c>
      <c r="L49" s="1">
        <f>IFERROR(__xludf.DUMMYFUNCTION("""COMPUTED_VALUE"""),24.0)</f>
        <v>24</v>
      </c>
      <c r="M49" s="1" t="str">
        <f>IFERROR(__xludf.DUMMYFUNCTION("""COMPUTED_VALUE"""),"约13年")</f>
        <v>约13年</v>
      </c>
      <c r="N49" s="1" t="str">
        <f>IFERROR(__xludf.DUMMYFUNCTION("""COMPUTED_VALUE"""),"割据")</f>
        <v>割据</v>
      </c>
      <c r="O49" s="1" t="str">
        <f>IFERROR(__xludf.DUMMYFUNCTION("""COMPUTED_VALUE"""),"西晋凉州刺史，前凉奠基者")</f>
        <v>西晋凉州刺史，前凉奠基者</v>
      </c>
    </row>
    <row r="50">
      <c r="A50" s="1" t="str">
        <f>IFERROR(__xludf.DUMMYFUNCTION("SPLIT(CSV!A:A,"","")"),"成汉")</f>
        <v>成汉</v>
      </c>
      <c r="B50" s="1">
        <f>IFERROR(__xludf.DUMMYFUNCTION("""COMPUTED_VALUE"""),1.0)</f>
        <v>1</v>
      </c>
      <c r="C50" s="1" t="str">
        <f>IFERROR(__xludf.DUMMYFUNCTION("""COMPUTED_VALUE"""),"太宗")</f>
        <v>太宗</v>
      </c>
      <c r="D50" s="1" t="str">
        <f>IFERROR(__xludf.DUMMYFUNCTION("""COMPUTED_VALUE"""),"武皇帝")</f>
        <v>武皇帝</v>
      </c>
      <c r="E50" s="1" t="str">
        <f>IFERROR(__xludf.DUMMYFUNCTION("""COMPUTED_VALUE"""),"李雄")</f>
        <v>李雄</v>
      </c>
      <c r="F50" s="1" t="str">
        <f>IFERROR(__xludf.DUMMYFUNCTION("""COMPUTED_VALUE"""),"李雄")</f>
        <v>李雄</v>
      </c>
      <c r="G50" s="1">
        <f>IFERROR(__xludf.DUMMYFUNCTION("""COMPUTED_VALUE"""),304.0)</f>
        <v>304</v>
      </c>
      <c r="H50" s="1">
        <f>IFERROR(__xludf.DUMMYFUNCTION("""COMPUTED_VALUE"""),10.0)</f>
        <v>10</v>
      </c>
      <c r="I50" s="1" t="str">
        <f>IFERROR(__xludf.DUMMYFUNCTION("""COMPUTED_VALUE"""),"-")</f>
        <v>-</v>
      </c>
      <c r="J50" s="1">
        <f>IFERROR(__xludf.DUMMYFUNCTION("""COMPUTED_VALUE"""),334.0)</f>
        <v>334</v>
      </c>
      <c r="K50" s="1">
        <f>IFERROR(__xludf.DUMMYFUNCTION("""COMPUTED_VALUE"""),6.0)</f>
        <v>6</v>
      </c>
      <c r="L50" s="1">
        <f>IFERROR(__xludf.DUMMYFUNCTION("""COMPUTED_VALUE"""),25.0)</f>
        <v>25</v>
      </c>
      <c r="M50" s="1" t="str">
        <f>IFERROR(__xludf.DUMMYFUNCTION("""COMPUTED_VALUE"""),"约30年")</f>
        <v>约30年</v>
      </c>
      <c r="N50" s="1" t="str">
        <f>IFERROR(__xludf.DUMMYFUNCTION("""COMPUTED_VALUE"""),"自立")</f>
        <v>自立</v>
      </c>
      <c r="O50" s="1" t="str">
        <f>IFERROR(__xludf.DUMMYFUNCTION("""COMPUTED_VALUE"""),"在成都称帝，国号成")</f>
        <v>在成都称帝，国号成</v>
      </c>
    </row>
    <row r="51">
      <c r="A51" s="1" t="str">
        <f>IFERROR(__xludf.DUMMYFUNCTION("SPLIT(CSV!A:A,"","")"),"汉赵（前赵）")</f>
        <v>汉赵（前赵）</v>
      </c>
      <c r="B51" s="1">
        <f>IFERROR(__xludf.DUMMYFUNCTION("""COMPUTED_VALUE"""),1.0)</f>
        <v>1</v>
      </c>
      <c r="C51" s="1" t="str">
        <f>IFERROR(__xludf.DUMMYFUNCTION("""COMPUTED_VALUE"""),"高祖")</f>
        <v>高祖</v>
      </c>
      <c r="D51" s="1" t="str">
        <f>IFERROR(__xludf.DUMMYFUNCTION("""COMPUTED_VALUE"""),"光文皇帝")</f>
        <v>光文皇帝</v>
      </c>
      <c r="E51" s="1" t="str">
        <f>IFERROR(__xludf.DUMMYFUNCTION("""COMPUTED_VALUE"""),"刘渊")</f>
        <v>刘渊</v>
      </c>
      <c r="F51" s="1" t="str">
        <f>IFERROR(__xludf.DUMMYFUNCTION("""COMPUTED_VALUE"""),"刘渊")</f>
        <v>刘渊</v>
      </c>
      <c r="G51" s="1">
        <f>IFERROR(__xludf.DUMMYFUNCTION("""COMPUTED_VALUE"""),304.0)</f>
        <v>304</v>
      </c>
      <c r="H51" s="1">
        <f>IFERROR(__xludf.DUMMYFUNCTION("""COMPUTED_VALUE"""),10.0)</f>
        <v>10</v>
      </c>
      <c r="I51" s="1" t="str">
        <f>IFERROR(__xludf.DUMMYFUNCTION("""COMPUTED_VALUE"""),"-")</f>
        <v>-</v>
      </c>
      <c r="J51" s="1">
        <f>IFERROR(__xludf.DUMMYFUNCTION("""COMPUTED_VALUE"""),310.0)</f>
        <v>310</v>
      </c>
      <c r="K51" s="1">
        <f>IFERROR(__xludf.DUMMYFUNCTION("""COMPUTED_VALUE"""),8.0)</f>
        <v>8</v>
      </c>
      <c r="L51" s="1">
        <f>IFERROR(__xludf.DUMMYFUNCTION("""COMPUTED_VALUE"""),18.0)</f>
        <v>18</v>
      </c>
      <c r="M51" s="1" t="str">
        <f>IFERROR(__xludf.DUMMYFUNCTION("""COMPUTED_VALUE"""),"约6年")</f>
        <v>约6年</v>
      </c>
      <c r="N51" s="1" t="str">
        <f>IFERROR(__xludf.DUMMYFUNCTION("""COMPUTED_VALUE"""),"自立")</f>
        <v>自立</v>
      </c>
      <c r="O51" s="1" t="str">
        <f>IFERROR(__xludf.DUMMYFUNCTION("""COMPUTED_VALUE"""),"匈奴贵族，308年称帝")</f>
        <v>匈奴贵族，308年称帝</v>
      </c>
    </row>
    <row r="52">
      <c r="A52" s="1" t="str">
        <f>IFERROR(__xludf.DUMMYFUNCTION("SPLIT(CSV!A:A,"","")"),"西晋")</f>
        <v>西晋</v>
      </c>
      <c r="B52" s="1">
        <f>IFERROR(__xludf.DUMMYFUNCTION("""COMPUTED_VALUE"""),4.0)</f>
        <v>4</v>
      </c>
      <c r="C52" s="1" t="str">
        <f>IFERROR(__xludf.DUMMYFUNCTION("""COMPUTED_VALUE"""),"-")</f>
        <v>-</v>
      </c>
      <c r="D52" s="1" t="str">
        <f>IFERROR(__xludf.DUMMYFUNCTION("""COMPUTED_VALUE"""),"孝怀皇帝")</f>
        <v>孝怀皇帝</v>
      </c>
      <c r="E52" s="1" t="str">
        <f>IFERROR(__xludf.DUMMYFUNCTION("""COMPUTED_VALUE"""),"晋怀帝")</f>
        <v>晋怀帝</v>
      </c>
      <c r="F52" s="1" t="str">
        <f>IFERROR(__xludf.DUMMYFUNCTION("""COMPUTED_VALUE"""),"司马炽")</f>
        <v>司马炽</v>
      </c>
      <c r="G52" s="1">
        <f>IFERROR(__xludf.DUMMYFUNCTION("""COMPUTED_VALUE"""),307.0)</f>
        <v>307</v>
      </c>
      <c r="H52" s="1">
        <f>IFERROR(__xludf.DUMMYFUNCTION("""COMPUTED_VALUE"""),3.0)</f>
        <v>3</v>
      </c>
      <c r="I52" s="1" t="str">
        <f>IFERROR(__xludf.DUMMYFUNCTION("""COMPUTED_VALUE"""),"-")</f>
        <v>-</v>
      </c>
      <c r="J52" s="1">
        <f>IFERROR(__xludf.DUMMYFUNCTION("""COMPUTED_VALUE"""),313.0)</f>
        <v>313</v>
      </c>
      <c r="K52" s="1">
        <f>IFERROR(__xludf.DUMMYFUNCTION("""COMPUTED_VALUE"""),7.0)</f>
        <v>7</v>
      </c>
      <c r="L52" s="1" t="str">
        <f>IFERROR(__xludf.DUMMYFUNCTION("""COMPUTED_VALUE"""),"-")</f>
        <v>-</v>
      </c>
      <c r="M52" s="1" t="str">
        <f>IFERROR(__xludf.DUMMYFUNCTION("""COMPUTED_VALUE"""),"6年4个月")</f>
        <v>6年4个月</v>
      </c>
      <c r="N52" s="1" t="str">
        <f>IFERROR(__xludf.DUMMYFUNCTION("""COMPUTED_VALUE"""),"继承")</f>
        <v>继承</v>
      </c>
      <c r="O52" s="1" t="str">
        <f>IFERROR(__xludf.DUMMYFUNCTION("""COMPUTED_VALUE"""),"被刘聪俘虏")</f>
        <v>被刘聪俘虏</v>
      </c>
    </row>
    <row r="53">
      <c r="A53" s="1" t="str">
        <f>IFERROR(__xludf.DUMMYFUNCTION("SPLIT(CSV!A:A,"","")"),"汉赵（前赵）")</f>
        <v>汉赵（前赵）</v>
      </c>
      <c r="B53" s="1">
        <f>IFERROR(__xludf.DUMMYFUNCTION("""COMPUTED_VALUE"""),2.0)</f>
        <v>2</v>
      </c>
      <c r="C53" s="1" t="str">
        <f>IFERROR(__xludf.DUMMYFUNCTION("""COMPUTED_VALUE"""),"烈宗")</f>
        <v>烈宗</v>
      </c>
      <c r="D53" s="1" t="str">
        <f>IFERROR(__xludf.DUMMYFUNCTION("""COMPUTED_VALUE"""),"昭武皇帝")</f>
        <v>昭武皇帝</v>
      </c>
      <c r="E53" s="1" t="str">
        <f>IFERROR(__xludf.DUMMYFUNCTION("""COMPUTED_VALUE"""),"刘聪")</f>
        <v>刘聪</v>
      </c>
      <c r="F53" s="1" t="str">
        <f>IFERROR(__xludf.DUMMYFUNCTION("""COMPUTED_VALUE"""),"刘聪")</f>
        <v>刘聪</v>
      </c>
      <c r="G53" s="1">
        <f>IFERROR(__xludf.DUMMYFUNCTION("""COMPUTED_VALUE"""),310.0)</f>
        <v>310</v>
      </c>
      <c r="H53" s="1">
        <f>IFERROR(__xludf.DUMMYFUNCTION("""COMPUTED_VALUE"""),8.0)</f>
        <v>8</v>
      </c>
      <c r="I53" s="1">
        <f>IFERROR(__xludf.DUMMYFUNCTION("""COMPUTED_VALUE"""),18.0)</f>
        <v>18</v>
      </c>
      <c r="J53" s="1">
        <f>IFERROR(__xludf.DUMMYFUNCTION("""COMPUTED_VALUE"""),318.0)</f>
        <v>318</v>
      </c>
      <c r="K53" s="1">
        <f>IFERROR(__xludf.DUMMYFUNCTION("""COMPUTED_VALUE"""),8.0)</f>
        <v>8</v>
      </c>
      <c r="L53" s="1">
        <f>IFERROR(__xludf.DUMMYFUNCTION("""COMPUTED_VALUE"""),31.0)</f>
        <v>31</v>
      </c>
      <c r="M53" s="1" t="str">
        <f>IFERROR(__xludf.DUMMYFUNCTION("""COMPUTED_VALUE"""),"8年")</f>
        <v>8年</v>
      </c>
      <c r="N53" s="1" t="str">
        <f>IFERROR(__xludf.DUMMYFUNCTION("""COMPUTED_VALUE"""),"政变")</f>
        <v>政变</v>
      </c>
      <c r="O53" s="1" t="str">
        <f>IFERROR(__xludf.DUMMYFUNCTION("""COMPUTED_VALUE"""),"刘渊第四子，杀兄刘和夺位")</f>
        <v>刘渊第四子，杀兄刘和夺位</v>
      </c>
    </row>
    <row r="54">
      <c r="A54" s="1" t="str">
        <f>IFERROR(__xludf.DUMMYFUNCTION("SPLIT(CSV!A:A,"","")"),"西晋")</f>
        <v>西晋</v>
      </c>
      <c r="B54" s="1">
        <f>IFERROR(__xludf.DUMMYFUNCTION("""COMPUTED_VALUE"""),5.0)</f>
        <v>5</v>
      </c>
      <c r="C54" s="1" t="str">
        <f>IFERROR(__xludf.DUMMYFUNCTION("""COMPUTED_VALUE"""),"-")</f>
        <v>-</v>
      </c>
      <c r="D54" s="1" t="str">
        <f>IFERROR(__xludf.DUMMYFUNCTION("""COMPUTED_VALUE"""),"孝愍皇帝")</f>
        <v>孝愍皇帝</v>
      </c>
      <c r="E54" s="1" t="str">
        <f>IFERROR(__xludf.DUMMYFUNCTION("""COMPUTED_VALUE"""),"晋愍帝")</f>
        <v>晋愍帝</v>
      </c>
      <c r="F54" s="1" t="str">
        <f>IFERROR(__xludf.DUMMYFUNCTION("""COMPUTED_VALUE"""),"司马邺")</f>
        <v>司马邺</v>
      </c>
      <c r="G54" s="1">
        <f>IFERROR(__xludf.DUMMYFUNCTION("""COMPUTED_VALUE"""),313.0)</f>
        <v>313</v>
      </c>
      <c r="H54" s="1">
        <f>IFERROR(__xludf.DUMMYFUNCTION("""COMPUTED_VALUE"""),6.0)</f>
        <v>6</v>
      </c>
      <c r="I54" s="1">
        <f>IFERROR(__xludf.DUMMYFUNCTION("""COMPUTED_VALUE"""),7.0)</f>
        <v>7</v>
      </c>
      <c r="J54" s="1">
        <f>IFERROR(__xludf.DUMMYFUNCTION("""COMPUTED_VALUE"""),316.0)</f>
        <v>316</v>
      </c>
      <c r="K54" s="1">
        <f>IFERROR(__xludf.DUMMYFUNCTION("""COMPUTED_VALUE"""),12.0)</f>
        <v>12</v>
      </c>
      <c r="L54" s="1">
        <f>IFERROR(__xludf.DUMMYFUNCTION("""COMPUTED_VALUE"""),11.0)</f>
        <v>11</v>
      </c>
      <c r="M54" s="1" t="str">
        <f>IFERROR(__xludf.DUMMYFUNCTION("""COMPUTED_VALUE"""),"3年187天")</f>
        <v>3年187天</v>
      </c>
      <c r="N54" s="1" t="str">
        <f>IFERROR(__xludf.DUMMYFUNCTION("""COMPUTED_VALUE"""),"继承")</f>
        <v>继承</v>
      </c>
      <c r="O54" s="1" t="str">
        <f>IFERROR(__xludf.DUMMYFUNCTION("""COMPUTED_VALUE"""),"投降刘曜，西晋灭亡")</f>
        <v>投降刘曜，西晋灭亡</v>
      </c>
    </row>
    <row r="55">
      <c r="A55" s="1" t="str">
        <f>IFERROR(__xludf.DUMMYFUNCTION("SPLIT(CSV!A:A,"","")"),"前凉")</f>
        <v>前凉</v>
      </c>
      <c r="B55" s="1">
        <f>IFERROR(__xludf.DUMMYFUNCTION("""COMPUTED_VALUE"""),2.0)</f>
        <v>2</v>
      </c>
      <c r="C55" s="1" t="str">
        <f>IFERROR(__xludf.DUMMYFUNCTION("""COMPUTED_VALUE"""),"高祖")</f>
        <v>高祖</v>
      </c>
      <c r="D55" s="1" t="str">
        <f>IFERROR(__xludf.DUMMYFUNCTION("""COMPUTED_VALUE"""),"昭王/元公")</f>
        <v>昭王/元公</v>
      </c>
      <c r="E55" s="1" t="str">
        <f>IFERROR(__xludf.DUMMYFUNCTION("""COMPUTED_VALUE"""),"张寔")</f>
        <v>张寔</v>
      </c>
      <c r="F55" s="1" t="str">
        <f>IFERROR(__xludf.DUMMYFUNCTION("""COMPUTED_VALUE"""),"张寔")</f>
        <v>张寔</v>
      </c>
      <c r="G55" s="1">
        <f>IFERROR(__xludf.DUMMYFUNCTION("""COMPUTED_VALUE"""),314.0)</f>
        <v>314</v>
      </c>
      <c r="H55" s="1">
        <f>IFERROR(__xludf.DUMMYFUNCTION("""COMPUTED_VALUE"""),5.0)</f>
        <v>5</v>
      </c>
      <c r="I55" s="1">
        <f>IFERROR(__xludf.DUMMYFUNCTION("""COMPUTED_VALUE"""),24.0)</f>
        <v>24</v>
      </c>
      <c r="J55" s="1">
        <f>IFERROR(__xludf.DUMMYFUNCTION("""COMPUTED_VALUE"""),320.0)</f>
        <v>320</v>
      </c>
      <c r="K55" s="1">
        <f>IFERROR(__xludf.DUMMYFUNCTION("""COMPUTED_VALUE"""),6.0)</f>
        <v>6</v>
      </c>
      <c r="L55" s="1" t="str">
        <f>IFERROR(__xludf.DUMMYFUNCTION("""COMPUTED_VALUE"""),"-")</f>
        <v>-</v>
      </c>
      <c r="M55" s="1" t="str">
        <f>IFERROR(__xludf.DUMMYFUNCTION("""COMPUTED_VALUE"""),"约6年")</f>
        <v>约6年</v>
      </c>
      <c r="N55" s="1" t="str">
        <f>IFERROR(__xludf.DUMMYFUNCTION("""COMPUTED_VALUE"""),"继承")</f>
        <v>继承</v>
      </c>
      <c r="O55" s="1" t="str">
        <f>IFERROR(__xludf.DUMMYFUNCTION("""COMPUTED_VALUE"""),"张轨之子")</f>
        <v>张轨之子</v>
      </c>
    </row>
    <row r="56">
      <c r="A56" s="1" t="str">
        <f>IFERROR(__xludf.DUMMYFUNCTION("SPLIT(CSV!A:A,"","")"),"东晋")</f>
        <v>东晋</v>
      </c>
      <c r="B56" s="1">
        <f>IFERROR(__xludf.DUMMYFUNCTION("""COMPUTED_VALUE"""),1.0)</f>
        <v>1</v>
      </c>
      <c r="C56" s="1" t="str">
        <f>IFERROR(__xludf.DUMMYFUNCTION("""COMPUTED_VALUE"""),"中宗")</f>
        <v>中宗</v>
      </c>
      <c r="D56" s="1" t="str">
        <f>IFERROR(__xludf.DUMMYFUNCTION("""COMPUTED_VALUE"""),"元皇帝")</f>
        <v>元皇帝</v>
      </c>
      <c r="E56" s="1" t="str">
        <f>IFERROR(__xludf.DUMMYFUNCTION("""COMPUTED_VALUE"""),"晋元帝")</f>
        <v>晋元帝</v>
      </c>
      <c r="F56" s="1" t="str">
        <f>IFERROR(__xludf.DUMMYFUNCTION("""COMPUTED_VALUE"""),"司马睿")</f>
        <v>司马睿</v>
      </c>
      <c r="G56" s="1">
        <f>IFERROR(__xludf.DUMMYFUNCTION("""COMPUTED_VALUE"""),318.0)</f>
        <v>318</v>
      </c>
      <c r="H56" s="1">
        <f>IFERROR(__xludf.DUMMYFUNCTION("""COMPUTED_VALUE"""),4.0)</f>
        <v>4</v>
      </c>
      <c r="I56" s="1">
        <f>IFERROR(__xludf.DUMMYFUNCTION("""COMPUTED_VALUE"""),26.0)</f>
        <v>26</v>
      </c>
      <c r="J56" s="1">
        <f>IFERROR(__xludf.DUMMYFUNCTION("""COMPUTED_VALUE"""),323.0)</f>
        <v>323</v>
      </c>
      <c r="K56" s="1">
        <f>IFERROR(__xludf.DUMMYFUNCTION("""COMPUTED_VALUE"""),1.0)</f>
        <v>1</v>
      </c>
      <c r="L56" s="1">
        <f>IFERROR(__xludf.DUMMYFUNCTION("""COMPUTED_VALUE"""),3.0)</f>
        <v>3</v>
      </c>
      <c r="M56" s="1" t="str">
        <f>IFERROR(__xludf.DUMMYFUNCTION("""COMPUTED_VALUE"""),"4年252天")</f>
        <v>4年252天</v>
      </c>
      <c r="N56" s="1" t="str">
        <f>IFERROR(__xludf.DUMMYFUNCTION("""COMPUTED_VALUE"""),"继承")</f>
        <v>继承</v>
      </c>
      <c r="O56" s="1" t="str">
        <f>IFERROR(__xludf.DUMMYFUNCTION("""COMPUTED_VALUE"""),"-")</f>
        <v>-</v>
      </c>
    </row>
    <row r="57">
      <c r="A57" s="1" t="str">
        <f>IFERROR(__xludf.DUMMYFUNCTION("SPLIT(CSV!A:A,"","")"),"汉赵（前赵）")</f>
        <v>汉赵（前赵）</v>
      </c>
      <c r="B57" s="1">
        <f>IFERROR(__xludf.DUMMYFUNCTION("""COMPUTED_VALUE"""),3.0)</f>
        <v>3</v>
      </c>
      <c r="C57" s="1" t="str">
        <f>IFERROR(__xludf.DUMMYFUNCTION("""COMPUTED_VALUE"""),"-")</f>
        <v>-</v>
      </c>
      <c r="D57" s="1" t="str">
        <f>IFERROR(__xludf.DUMMYFUNCTION("""COMPUTED_VALUE"""),"隐皇帝")</f>
        <v>隐皇帝</v>
      </c>
      <c r="E57" s="1" t="str">
        <f>IFERROR(__xludf.DUMMYFUNCTION("""COMPUTED_VALUE"""),"刘粲")</f>
        <v>刘粲</v>
      </c>
      <c r="F57" s="1" t="str">
        <f>IFERROR(__xludf.DUMMYFUNCTION("""COMPUTED_VALUE"""),"刘粲")</f>
        <v>刘粲</v>
      </c>
      <c r="G57" s="1">
        <f>IFERROR(__xludf.DUMMYFUNCTION("""COMPUTED_VALUE"""),318.0)</f>
        <v>318</v>
      </c>
      <c r="H57" s="1">
        <f>IFERROR(__xludf.DUMMYFUNCTION("""COMPUTED_VALUE"""),8.0)</f>
        <v>8</v>
      </c>
      <c r="I57" s="1">
        <f>IFERROR(__xludf.DUMMYFUNCTION("""COMPUTED_VALUE"""),31.0)</f>
        <v>31</v>
      </c>
      <c r="J57" s="1">
        <f>IFERROR(__xludf.DUMMYFUNCTION("""COMPUTED_VALUE"""),318.0)</f>
        <v>318</v>
      </c>
      <c r="K57" s="1">
        <f>IFERROR(__xludf.DUMMYFUNCTION("""COMPUTED_VALUE"""),9.0)</f>
        <v>9</v>
      </c>
      <c r="L57" s="1" t="str">
        <f>IFERROR(__xludf.DUMMYFUNCTION("""COMPUTED_VALUE"""),"-")</f>
        <v>-</v>
      </c>
      <c r="M57" s="1" t="str">
        <f>IFERROR(__xludf.DUMMYFUNCTION("""COMPUTED_VALUE"""),"约1个月")</f>
        <v>约1个月</v>
      </c>
      <c r="N57" s="1" t="str">
        <f>IFERROR(__xludf.DUMMYFUNCTION("""COMPUTED_VALUE"""),"继承")</f>
        <v>继承</v>
      </c>
      <c r="O57" s="1" t="str">
        <f>IFERROR(__xludf.DUMMYFUNCTION("""COMPUTED_VALUE"""),"刘聪之子，不久被靳准所杀")</f>
        <v>刘聪之子，不久被靳准所杀</v>
      </c>
    </row>
    <row r="58">
      <c r="A58" s="1" t="str">
        <f>IFERROR(__xludf.DUMMYFUNCTION("SPLIT(CSV!A:A,"","")"),"汉赵（前赵）")</f>
        <v>汉赵（前赵）</v>
      </c>
      <c r="B58" s="1">
        <f>IFERROR(__xludf.DUMMYFUNCTION("""COMPUTED_VALUE"""),4.0)</f>
        <v>4</v>
      </c>
      <c r="C58" s="1" t="str">
        <f>IFERROR(__xludf.DUMMYFUNCTION("""COMPUTED_VALUE"""),"-")</f>
        <v>-</v>
      </c>
      <c r="D58" s="1" t="str">
        <f>IFERROR(__xludf.DUMMYFUNCTION("""COMPUTED_VALUE"""),"-")</f>
        <v>-</v>
      </c>
      <c r="E58" s="1" t="str">
        <f>IFERROR(__xludf.DUMMYFUNCTION("""COMPUTED_VALUE"""),"刘曜")</f>
        <v>刘曜</v>
      </c>
      <c r="F58" s="1" t="str">
        <f>IFERROR(__xludf.DUMMYFUNCTION("""COMPUTED_VALUE"""),"刘曜")</f>
        <v>刘曜</v>
      </c>
      <c r="G58" s="1">
        <f>IFERROR(__xludf.DUMMYFUNCTION("""COMPUTED_VALUE"""),318.0)</f>
        <v>318</v>
      </c>
      <c r="H58" s="1">
        <f>IFERROR(__xludf.DUMMYFUNCTION("""COMPUTED_VALUE"""),10.0)</f>
        <v>10</v>
      </c>
      <c r="I58" s="1" t="str">
        <f>IFERROR(__xludf.DUMMYFUNCTION("""COMPUTED_VALUE"""),"-")</f>
        <v>-</v>
      </c>
      <c r="J58" s="1">
        <f>IFERROR(__xludf.DUMMYFUNCTION("""COMPUTED_VALUE"""),329.0)</f>
        <v>329</v>
      </c>
      <c r="K58" s="1">
        <f>IFERROR(__xludf.DUMMYFUNCTION("""COMPUTED_VALUE"""),1.0)</f>
        <v>1</v>
      </c>
      <c r="L58" s="1" t="str">
        <f>IFERROR(__xludf.DUMMYFUNCTION("""COMPUTED_VALUE"""),"-")</f>
        <v>-</v>
      </c>
      <c r="M58" s="1" t="str">
        <f>IFERROR(__xludf.DUMMYFUNCTION("""COMPUTED_VALUE"""),"约11年")</f>
        <v>约11年</v>
      </c>
      <c r="N58" s="1" t="str">
        <f>IFERROR(__xludf.DUMMYFUNCTION("""COMPUTED_VALUE"""),"自立/政变")</f>
        <v>自立/政变</v>
      </c>
      <c r="O58" s="1" t="str">
        <f>IFERROR(__xludf.DUMMYFUNCTION("""COMPUTED_VALUE"""),"刘渊族子，平定靳准之乱后即位，改国号为赵")</f>
        <v>刘渊族子，平定靳准之乱后即位，改国号为赵</v>
      </c>
    </row>
    <row r="59">
      <c r="A59" s="1" t="str">
        <f>IFERROR(__xludf.DUMMYFUNCTION("SPLIT(CSV!A:A,"","")"),"后赵")</f>
        <v>后赵</v>
      </c>
      <c r="B59" s="1">
        <f>IFERROR(__xludf.DUMMYFUNCTION("""COMPUTED_VALUE"""),1.0)</f>
        <v>1</v>
      </c>
      <c r="C59" s="1" t="str">
        <f>IFERROR(__xludf.DUMMYFUNCTION("""COMPUTED_VALUE"""),"高祖")</f>
        <v>高祖</v>
      </c>
      <c r="D59" s="1" t="str">
        <f>IFERROR(__xludf.DUMMYFUNCTION("""COMPUTED_VALUE"""),"明皇帝")</f>
        <v>明皇帝</v>
      </c>
      <c r="E59" s="1" t="str">
        <f>IFERROR(__xludf.DUMMYFUNCTION("""COMPUTED_VALUE"""),"石勒")</f>
        <v>石勒</v>
      </c>
      <c r="F59" s="1" t="str">
        <f>IFERROR(__xludf.DUMMYFUNCTION("""COMPUTED_VALUE"""),"石勒")</f>
        <v>石勒</v>
      </c>
      <c r="G59" s="1">
        <f>IFERROR(__xludf.DUMMYFUNCTION("""COMPUTED_VALUE"""),319.0)</f>
        <v>319</v>
      </c>
      <c r="H59" s="1">
        <f>IFERROR(__xludf.DUMMYFUNCTION("""COMPUTED_VALUE"""),6.0)</f>
        <v>6</v>
      </c>
      <c r="I59" s="1" t="str">
        <f>IFERROR(__xludf.DUMMYFUNCTION("""COMPUTED_VALUE"""),"-")</f>
        <v>-</v>
      </c>
      <c r="J59" s="1">
        <f>IFERROR(__xludf.DUMMYFUNCTION("""COMPUTED_VALUE"""),333.0)</f>
        <v>333</v>
      </c>
      <c r="K59" s="1">
        <f>IFERROR(__xludf.DUMMYFUNCTION("""COMPUTED_VALUE"""),7.0)</f>
        <v>7</v>
      </c>
      <c r="L59" s="1" t="str">
        <f>IFERROR(__xludf.DUMMYFUNCTION("""COMPUTED_VALUE"""),"-")</f>
        <v>-</v>
      </c>
      <c r="M59" s="1" t="str">
        <f>IFERROR(__xludf.DUMMYFUNCTION("""COMPUTED_VALUE"""),"约14年")</f>
        <v>约14年</v>
      </c>
      <c r="N59" s="1" t="str">
        <f>IFERROR(__xludf.DUMMYFUNCTION("""COMPUTED_VALUE"""),"自立")</f>
        <v>自立</v>
      </c>
      <c r="O59" s="1" t="str">
        <f>IFERROR(__xludf.DUMMYFUNCTION("""COMPUTED_VALUE"""),"319年称赵王，330年称帝")</f>
        <v>319年称赵王，330年称帝</v>
      </c>
    </row>
    <row r="60">
      <c r="A60" s="1" t="str">
        <f>IFERROR(__xludf.DUMMYFUNCTION("SPLIT(CSV!A:A,"","")"),"前凉")</f>
        <v>前凉</v>
      </c>
      <c r="B60" s="1">
        <f>IFERROR(__xludf.DUMMYFUNCTION("""COMPUTED_VALUE"""),3.0)</f>
        <v>3</v>
      </c>
      <c r="C60" s="1" t="str">
        <f>IFERROR(__xludf.DUMMYFUNCTION("""COMPUTED_VALUE"""),"太宗")</f>
        <v>太宗</v>
      </c>
      <c r="D60" s="1" t="str">
        <f>IFERROR(__xludf.DUMMYFUNCTION("""COMPUTED_VALUE"""),"成王/成烈王")</f>
        <v>成王/成烈王</v>
      </c>
      <c r="E60" s="1" t="str">
        <f>IFERROR(__xludf.DUMMYFUNCTION("""COMPUTED_VALUE"""),"张茂")</f>
        <v>张茂</v>
      </c>
      <c r="F60" s="1" t="str">
        <f>IFERROR(__xludf.DUMMYFUNCTION("""COMPUTED_VALUE"""),"张茂")</f>
        <v>张茂</v>
      </c>
      <c r="G60" s="1">
        <f>IFERROR(__xludf.DUMMYFUNCTION("""COMPUTED_VALUE"""),320.0)</f>
        <v>320</v>
      </c>
      <c r="H60" s="1">
        <f>IFERROR(__xludf.DUMMYFUNCTION("""COMPUTED_VALUE"""),6.0)</f>
        <v>6</v>
      </c>
      <c r="I60" s="1" t="str">
        <f>IFERROR(__xludf.DUMMYFUNCTION("""COMPUTED_VALUE"""),"-")</f>
        <v>-</v>
      </c>
      <c r="J60" s="1">
        <f>IFERROR(__xludf.DUMMYFUNCTION("""COMPUTED_VALUE"""),324.0)</f>
        <v>324</v>
      </c>
      <c r="K60" s="1">
        <f>IFERROR(__xludf.DUMMYFUNCTION("""COMPUTED_VALUE"""),5.0)</f>
        <v>5</v>
      </c>
      <c r="L60" s="1" t="str">
        <f>IFERROR(__xludf.DUMMYFUNCTION("""COMPUTED_VALUE"""),"-")</f>
        <v>-</v>
      </c>
      <c r="M60" s="1" t="str">
        <f>IFERROR(__xludf.DUMMYFUNCTION("""COMPUTED_VALUE"""),"约4年")</f>
        <v>约4年</v>
      </c>
      <c r="N60" s="1" t="str">
        <f>IFERROR(__xludf.DUMMYFUNCTION("""COMPUTED_VALUE"""),"继承")</f>
        <v>继承</v>
      </c>
      <c r="O60" s="1" t="str">
        <f>IFERROR(__xludf.DUMMYFUNCTION("""COMPUTED_VALUE"""),"张轨之子，张寔之弟")</f>
        <v>张轨之子，张寔之弟</v>
      </c>
    </row>
    <row r="61">
      <c r="A61" s="1" t="str">
        <f>IFERROR(__xludf.DUMMYFUNCTION("SPLIT(CSV!A:A,"","")"),"东晋")</f>
        <v>东晋</v>
      </c>
      <c r="B61" s="1">
        <f>IFERROR(__xludf.DUMMYFUNCTION("""COMPUTED_VALUE"""),2.0)</f>
        <v>2</v>
      </c>
      <c r="C61" s="1" t="str">
        <f>IFERROR(__xludf.DUMMYFUNCTION("""COMPUTED_VALUE"""),"肃宗")</f>
        <v>肃宗</v>
      </c>
      <c r="D61" s="1" t="str">
        <f>IFERROR(__xludf.DUMMYFUNCTION("""COMPUTED_VALUE"""),"明皇帝")</f>
        <v>明皇帝</v>
      </c>
      <c r="E61" s="1" t="str">
        <f>IFERROR(__xludf.DUMMYFUNCTION("""COMPUTED_VALUE"""),"晋明帝")</f>
        <v>晋明帝</v>
      </c>
      <c r="F61" s="1" t="str">
        <f>IFERROR(__xludf.DUMMYFUNCTION("""COMPUTED_VALUE"""),"司马绍")</f>
        <v>司马绍</v>
      </c>
      <c r="G61" s="1">
        <f>IFERROR(__xludf.DUMMYFUNCTION("""COMPUTED_VALUE"""),323.0)</f>
        <v>323</v>
      </c>
      <c r="H61" s="1">
        <f>IFERROR(__xludf.DUMMYFUNCTION("""COMPUTED_VALUE"""),1.0)</f>
        <v>1</v>
      </c>
      <c r="I61" s="1">
        <f>IFERROR(__xludf.DUMMYFUNCTION("""COMPUTED_VALUE"""),3.0)</f>
        <v>3</v>
      </c>
      <c r="J61" s="1">
        <f>IFERROR(__xludf.DUMMYFUNCTION("""COMPUTED_VALUE"""),325.0)</f>
        <v>325</v>
      </c>
      <c r="K61" s="1">
        <f>IFERROR(__xludf.DUMMYFUNCTION("""COMPUTED_VALUE"""),10.0)</f>
        <v>10</v>
      </c>
      <c r="L61" s="1">
        <f>IFERROR(__xludf.DUMMYFUNCTION("""COMPUTED_VALUE"""),18.0)</f>
        <v>18</v>
      </c>
      <c r="M61" s="1" t="str">
        <f>IFERROR(__xludf.DUMMYFUNCTION("""COMPUTED_VALUE"""),"2年288天")</f>
        <v>2年288天</v>
      </c>
      <c r="N61" s="1" t="str">
        <f>IFERROR(__xludf.DUMMYFUNCTION("""COMPUTED_VALUE"""),"继承")</f>
        <v>继承</v>
      </c>
      <c r="O61" s="1" t="str">
        <f>IFERROR(__xludf.DUMMYFUNCTION("""COMPUTED_VALUE"""),"-")</f>
        <v>-</v>
      </c>
    </row>
    <row r="62">
      <c r="A62" s="1" t="str">
        <f>IFERROR(__xludf.DUMMYFUNCTION("SPLIT(CSV!A:A,"","")"),"前凉")</f>
        <v>前凉</v>
      </c>
      <c r="B62" s="1">
        <f>IFERROR(__xludf.DUMMYFUNCTION("""COMPUTED_VALUE"""),4.0)</f>
        <v>4</v>
      </c>
      <c r="C62" s="1" t="str">
        <f>IFERROR(__xludf.DUMMYFUNCTION("""COMPUTED_VALUE"""),"世祖")</f>
        <v>世祖</v>
      </c>
      <c r="D62" s="1" t="str">
        <f>IFERROR(__xludf.DUMMYFUNCTION("""COMPUTED_VALUE"""),"文王/忠成公")</f>
        <v>文王/忠成公</v>
      </c>
      <c r="E62" s="1" t="str">
        <f>IFERROR(__xludf.DUMMYFUNCTION("""COMPUTED_VALUE"""),"张骏")</f>
        <v>张骏</v>
      </c>
      <c r="F62" s="1" t="str">
        <f>IFERROR(__xludf.DUMMYFUNCTION("""COMPUTED_VALUE"""),"张骏")</f>
        <v>张骏</v>
      </c>
      <c r="G62" s="1">
        <f>IFERROR(__xludf.DUMMYFUNCTION("""COMPUTED_VALUE"""),324.0)</f>
        <v>324</v>
      </c>
      <c r="H62" s="1">
        <f>IFERROR(__xludf.DUMMYFUNCTION("""COMPUTED_VALUE"""),5.0)</f>
        <v>5</v>
      </c>
      <c r="I62" s="1" t="str">
        <f>IFERROR(__xludf.DUMMYFUNCTION("""COMPUTED_VALUE"""),"-")</f>
        <v>-</v>
      </c>
      <c r="J62" s="1">
        <f>IFERROR(__xludf.DUMMYFUNCTION("""COMPUTED_VALUE"""),346.0)</f>
        <v>346</v>
      </c>
      <c r="K62" s="1">
        <f>IFERROR(__xludf.DUMMYFUNCTION("""COMPUTED_VALUE"""),4.0)</f>
        <v>4</v>
      </c>
      <c r="L62" s="1" t="str">
        <f>IFERROR(__xludf.DUMMYFUNCTION("""COMPUTED_VALUE"""),"-")</f>
        <v>-</v>
      </c>
      <c r="M62" s="1" t="str">
        <f>IFERROR(__xludf.DUMMYFUNCTION("""COMPUTED_VALUE"""),"约22年")</f>
        <v>约22年</v>
      </c>
      <c r="N62" s="1" t="str">
        <f>IFERROR(__xludf.DUMMYFUNCTION("""COMPUTED_VALUE"""),"继承")</f>
        <v>继承</v>
      </c>
      <c r="O62" s="1" t="str">
        <f>IFERROR(__xludf.DUMMYFUNCTION("""COMPUTED_VALUE"""),"张寔之子")</f>
        <v>张寔之子</v>
      </c>
    </row>
    <row r="63">
      <c r="A63" s="1" t="str">
        <f>IFERROR(__xludf.DUMMYFUNCTION("SPLIT(CSV!A:A,"","")"),"东晋")</f>
        <v>东晋</v>
      </c>
      <c r="B63" s="1">
        <f>IFERROR(__xludf.DUMMYFUNCTION("""COMPUTED_VALUE"""),3.0)</f>
        <v>3</v>
      </c>
      <c r="C63" s="1" t="str">
        <f>IFERROR(__xludf.DUMMYFUNCTION("""COMPUTED_VALUE"""),"显宗")</f>
        <v>显宗</v>
      </c>
      <c r="D63" s="1" t="str">
        <f>IFERROR(__xludf.DUMMYFUNCTION("""COMPUTED_VALUE"""),"成皇帝")</f>
        <v>成皇帝</v>
      </c>
      <c r="E63" s="1" t="str">
        <f>IFERROR(__xludf.DUMMYFUNCTION("""COMPUTED_VALUE"""),"晋成帝")</f>
        <v>晋成帝</v>
      </c>
      <c r="F63" s="1" t="str">
        <f>IFERROR(__xludf.DUMMYFUNCTION("""COMPUTED_VALUE"""),"司马衍")</f>
        <v>司马衍</v>
      </c>
      <c r="G63" s="1">
        <f>IFERROR(__xludf.DUMMYFUNCTION("""COMPUTED_VALUE"""),325.0)</f>
        <v>325</v>
      </c>
      <c r="H63" s="1">
        <f>IFERROR(__xludf.DUMMYFUNCTION("""COMPUTED_VALUE"""),10.0)</f>
        <v>10</v>
      </c>
      <c r="I63" s="1">
        <f>IFERROR(__xludf.DUMMYFUNCTION("""COMPUTED_VALUE"""),19.0)</f>
        <v>19</v>
      </c>
      <c r="J63" s="1">
        <f>IFERROR(__xludf.DUMMYFUNCTION("""COMPUTED_VALUE"""),342.0)</f>
        <v>342</v>
      </c>
      <c r="K63" s="1">
        <f>IFERROR(__xludf.DUMMYFUNCTION("""COMPUTED_VALUE"""),7.0)</f>
        <v>7</v>
      </c>
      <c r="L63" s="1">
        <f>IFERROR(__xludf.DUMMYFUNCTION("""COMPUTED_VALUE"""),26.0)</f>
        <v>26</v>
      </c>
      <c r="M63" s="1" t="str">
        <f>IFERROR(__xludf.DUMMYFUNCTION("""COMPUTED_VALUE"""),"16年280天")</f>
        <v>16年280天</v>
      </c>
      <c r="N63" s="1" t="str">
        <f>IFERROR(__xludf.DUMMYFUNCTION("""COMPUTED_VALUE"""),"继承")</f>
        <v>继承</v>
      </c>
      <c r="O63" s="1" t="str">
        <f>IFERROR(__xludf.DUMMYFUNCTION("""COMPUTED_VALUE"""),"-")</f>
        <v>-</v>
      </c>
    </row>
    <row r="64">
      <c r="A64" s="1" t="str">
        <f>IFERROR(__xludf.DUMMYFUNCTION("SPLIT(CSV!A:A,"","")"),"后赵")</f>
        <v>后赵</v>
      </c>
      <c r="B64" s="1">
        <f>IFERROR(__xludf.DUMMYFUNCTION("""COMPUTED_VALUE"""),2.0)</f>
        <v>2</v>
      </c>
      <c r="C64" s="1" t="str">
        <f>IFERROR(__xludf.DUMMYFUNCTION("""COMPUTED_VALUE"""),"-")</f>
        <v>-</v>
      </c>
      <c r="D64" s="1" t="str">
        <f>IFERROR(__xludf.DUMMYFUNCTION("""COMPUTED_VALUE"""),"-")</f>
        <v>-</v>
      </c>
      <c r="E64" s="1" t="str">
        <f>IFERROR(__xludf.DUMMYFUNCTION("""COMPUTED_VALUE"""),"石弘")</f>
        <v>石弘</v>
      </c>
      <c r="F64" s="1" t="str">
        <f>IFERROR(__xludf.DUMMYFUNCTION("""COMPUTED_VALUE"""),"石弘")</f>
        <v>石弘</v>
      </c>
      <c r="G64" s="1">
        <f>IFERROR(__xludf.DUMMYFUNCTION("""COMPUTED_VALUE"""),333.0)</f>
        <v>333</v>
      </c>
      <c r="H64" s="1">
        <f>IFERROR(__xludf.DUMMYFUNCTION("""COMPUTED_VALUE"""),7.0)</f>
        <v>7</v>
      </c>
      <c r="I64" s="1" t="str">
        <f>IFERROR(__xludf.DUMMYFUNCTION("""COMPUTED_VALUE"""),"-")</f>
        <v>-</v>
      </c>
      <c r="J64" s="1">
        <f>IFERROR(__xludf.DUMMYFUNCTION("""COMPUTED_VALUE"""),334.0)</f>
        <v>334</v>
      </c>
      <c r="K64" s="1">
        <f>IFERROR(__xludf.DUMMYFUNCTION("""COMPUTED_VALUE"""),11.0)</f>
        <v>11</v>
      </c>
      <c r="L64" s="1" t="str">
        <f>IFERROR(__xludf.DUMMYFUNCTION("""COMPUTED_VALUE"""),"-")</f>
        <v>-</v>
      </c>
      <c r="M64" s="1" t="str">
        <f>IFERROR(__xludf.DUMMYFUNCTION("""COMPUTED_VALUE"""),"约1年")</f>
        <v>约1年</v>
      </c>
      <c r="N64" s="1" t="str">
        <f>IFERROR(__xludf.DUMMYFUNCTION("""COMPUTED_VALUE"""),"继承")</f>
        <v>继承</v>
      </c>
      <c r="O64" s="1" t="str">
        <f>IFERROR(__xludf.DUMMYFUNCTION("""COMPUTED_VALUE"""),"石勒之子，后被石虎废杀")</f>
        <v>石勒之子，后被石虎废杀</v>
      </c>
    </row>
    <row r="65">
      <c r="A65" s="1" t="str">
        <f>IFERROR(__xludf.DUMMYFUNCTION("SPLIT(CSV!A:A,"","")"),"成汉")</f>
        <v>成汉</v>
      </c>
      <c r="B65" s="1">
        <f>IFERROR(__xludf.DUMMYFUNCTION("""COMPUTED_VALUE"""),2.0)</f>
        <v>2</v>
      </c>
      <c r="C65" s="1" t="str">
        <f>IFERROR(__xludf.DUMMYFUNCTION("""COMPUTED_VALUE"""),"-")</f>
        <v>-</v>
      </c>
      <c r="D65" s="1" t="str">
        <f>IFERROR(__xludf.DUMMYFUNCTION("""COMPUTED_VALUE"""),"哀皇帝")</f>
        <v>哀皇帝</v>
      </c>
      <c r="E65" s="1" t="str">
        <f>IFERROR(__xludf.DUMMYFUNCTION("""COMPUTED_VALUE"""),"李班")</f>
        <v>李班</v>
      </c>
      <c r="F65" s="1" t="str">
        <f>IFERROR(__xludf.DUMMYFUNCTION("""COMPUTED_VALUE"""),"李班")</f>
        <v>李班</v>
      </c>
      <c r="G65" s="1">
        <f>IFERROR(__xludf.DUMMYFUNCTION("""COMPUTED_VALUE"""),334.0)</f>
        <v>334</v>
      </c>
      <c r="H65" s="1">
        <f>IFERROR(__xludf.DUMMYFUNCTION("""COMPUTED_VALUE"""),6.0)</f>
        <v>6</v>
      </c>
      <c r="I65" s="1">
        <f>IFERROR(__xludf.DUMMYFUNCTION("""COMPUTED_VALUE"""),25.0)</f>
        <v>25</v>
      </c>
      <c r="J65" s="1">
        <f>IFERROR(__xludf.DUMMYFUNCTION("""COMPUTED_VALUE"""),334.0)</f>
        <v>334</v>
      </c>
      <c r="K65" s="1">
        <f>IFERROR(__xludf.DUMMYFUNCTION("""COMPUTED_VALUE"""),10.0)</f>
        <v>10</v>
      </c>
      <c r="L65" s="1" t="str">
        <f>IFERROR(__xludf.DUMMYFUNCTION("""COMPUTED_VALUE"""),"-")</f>
        <v>-</v>
      </c>
      <c r="M65" s="1" t="str">
        <f>IFERROR(__xludf.DUMMYFUNCTION("""COMPUTED_VALUE"""),"约4个月")</f>
        <v>约4个月</v>
      </c>
      <c r="N65" s="1" t="str">
        <f>IFERROR(__xludf.DUMMYFUNCTION("""COMPUTED_VALUE"""),"继承")</f>
        <v>继承</v>
      </c>
      <c r="O65" s="1" t="str">
        <f>IFERROR(__xludf.DUMMYFUNCTION("""COMPUTED_VALUE"""),"李雄之侄，在位不足半年被杀")</f>
        <v>李雄之侄，在位不足半年被杀</v>
      </c>
    </row>
    <row r="66">
      <c r="A66" s="1" t="str">
        <f>IFERROR(__xludf.DUMMYFUNCTION("SPLIT(CSV!A:A,"","")"),"成汉")</f>
        <v>成汉</v>
      </c>
      <c r="B66" s="1">
        <f>IFERROR(__xludf.DUMMYFUNCTION("""COMPUTED_VALUE"""),3.0)</f>
        <v>3</v>
      </c>
      <c r="C66" s="1" t="str">
        <f>IFERROR(__xludf.DUMMYFUNCTION("""COMPUTED_VALUE"""),"-")</f>
        <v>-</v>
      </c>
      <c r="D66" s="1" t="str">
        <f>IFERROR(__xludf.DUMMYFUNCTION("""COMPUTED_VALUE"""),"幽公/哀皇帝")</f>
        <v>幽公/哀皇帝</v>
      </c>
      <c r="E66" s="1" t="str">
        <f>IFERROR(__xludf.DUMMYFUNCTION("""COMPUTED_VALUE"""),"李期")</f>
        <v>李期</v>
      </c>
      <c r="F66" s="1" t="str">
        <f>IFERROR(__xludf.DUMMYFUNCTION("""COMPUTED_VALUE"""),"李期")</f>
        <v>李期</v>
      </c>
      <c r="G66" s="1">
        <f>IFERROR(__xludf.DUMMYFUNCTION("""COMPUTED_VALUE"""),334.0)</f>
        <v>334</v>
      </c>
      <c r="H66" s="1">
        <f>IFERROR(__xludf.DUMMYFUNCTION("""COMPUTED_VALUE"""),10.0)</f>
        <v>10</v>
      </c>
      <c r="I66" s="1" t="str">
        <f>IFERROR(__xludf.DUMMYFUNCTION("""COMPUTED_VALUE"""),"-")</f>
        <v>-</v>
      </c>
      <c r="J66" s="1">
        <f>IFERROR(__xludf.DUMMYFUNCTION("""COMPUTED_VALUE"""),338.0)</f>
        <v>338</v>
      </c>
      <c r="K66" s="1">
        <f>IFERROR(__xludf.DUMMYFUNCTION("""COMPUTED_VALUE"""),4.0)</f>
        <v>4</v>
      </c>
      <c r="L66" s="1" t="str">
        <f>IFERROR(__xludf.DUMMYFUNCTION("""COMPUTED_VALUE"""),"-")</f>
        <v>-</v>
      </c>
      <c r="M66" s="1" t="str">
        <f>IFERROR(__xludf.DUMMYFUNCTION("""COMPUTED_VALUE"""),"约4年")</f>
        <v>约4年</v>
      </c>
      <c r="N66" s="1" t="str">
        <f>IFERROR(__xludf.DUMMYFUNCTION("""COMPUTED_VALUE"""),"政变")</f>
        <v>政变</v>
      </c>
      <c r="O66" s="1" t="str">
        <f>IFERROR(__xludf.DUMMYFUNCTION("""COMPUTED_VALUE"""),"李雄第四子，废黜李班后即位")</f>
        <v>李雄第四子，废黜李班后即位</v>
      </c>
    </row>
    <row r="67">
      <c r="A67" s="1" t="str">
        <f>IFERROR(__xludf.DUMMYFUNCTION("SPLIT(CSV!A:A,"","")"),"后赵")</f>
        <v>后赵</v>
      </c>
      <c r="B67" s="1">
        <f>IFERROR(__xludf.DUMMYFUNCTION("""COMPUTED_VALUE"""),3.0)</f>
        <v>3</v>
      </c>
      <c r="C67" s="1" t="str">
        <f>IFERROR(__xludf.DUMMYFUNCTION("""COMPUTED_VALUE"""),"太祖")</f>
        <v>太祖</v>
      </c>
      <c r="D67" s="1" t="str">
        <f>IFERROR(__xludf.DUMMYFUNCTION("""COMPUTED_VALUE"""),"武皇帝")</f>
        <v>武皇帝</v>
      </c>
      <c r="E67" s="1" t="str">
        <f>IFERROR(__xludf.DUMMYFUNCTION("""COMPUTED_VALUE"""),"石虎")</f>
        <v>石虎</v>
      </c>
      <c r="F67" s="1" t="str">
        <f>IFERROR(__xludf.DUMMYFUNCTION("""COMPUTED_VALUE"""),"石虎")</f>
        <v>石虎</v>
      </c>
      <c r="G67" s="1">
        <f>IFERROR(__xludf.DUMMYFUNCTION("""COMPUTED_VALUE"""),334.0)</f>
        <v>334</v>
      </c>
      <c r="H67" s="1">
        <f>IFERROR(__xludf.DUMMYFUNCTION("""COMPUTED_VALUE"""),11.0)</f>
        <v>11</v>
      </c>
      <c r="I67" s="1" t="str">
        <f>IFERROR(__xludf.DUMMYFUNCTION("""COMPUTED_VALUE"""),"-")</f>
        <v>-</v>
      </c>
      <c r="J67" s="1">
        <f>IFERROR(__xludf.DUMMYFUNCTION("""COMPUTED_VALUE"""),349.0)</f>
        <v>349</v>
      </c>
      <c r="K67" s="1">
        <f>IFERROR(__xludf.DUMMYFUNCTION("""COMPUTED_VALUE"""),4.0)</f>
        <v>4</v>
      </c>
      <c r="L67" s="1">
        <f>IFERROR(__xludf.DUMMYFUNCTION("""COMPUTED_VALUE"""),23.0)</f>
        <v>23</v>
      </c>
      <c r="M67" s="1" t="str">
        <f>IFERROR(__xludf.DUMMYFUNCTION("""COMPUTED_VALUE"""),"约15年")</f>
        <v>约15年</v>
      </c>
      <c r="N67" s="1" t="str">
        <f>IFERROR(__xludf.DUMMYFUNCTION("""COMPUTED_VALUE"""),"篡位")</f>
        <v>篡位</v>
      </c>
      <c r="O67" s="1" t="str">
        <f>IFERROR(__xludf.DUMMYFUNCTION("""COMPUTED_VALUE"""),"石勒之侄，废杀石弘自立")</f>
        <v>石勒之侄，废杀石弘自立</v>
      </c>
    </row>
    <row r="68">
      <c r="A68" s="1" t="str">
        <f>IFERROR(__xludf.DUMMYFUNCTION("SPLIT(CSV!A:A,"","")"),"前燕")</f>
        <v>前燕</v>
      </c>
      <c r="B68" s="1">
        <f>IFERROR(__xludf.DUMMYFUNCTION("""COMPUTED_VALUE"""),1.0)</f>
        <v>1</v>
      </c>
      <c r="C68" s="1" t="str">
        <f>IFERROR(__xludf.DUMMYFUNCTION("""COMPUTED_VALUE"""),"太祖")</f>
        <v>太祖</v>
      </c>
      <c r="D68" s="1" t="str">
        <f>IFERROR(__xludf.DUMMYFUNCTION("""COMPUTED_VALUE"""),"文明皇帝")</f>
        <v>文明皇帝</v>
      </c>
      <c r="E68" s="1" t="str">
        <f>IFERROR(__xludf.DUMMYFUNCTION("""COMPUTED_VALUE"""),"慕容皝")</f>
        <v>慕容皝</v>
      </c>
      <c r="F68" s="1" t="str">
        <f>IFERROR(__xludf.DUMMYFUNCTION("""COMPUTED_VALUE"""),"慕容皝")</f>
        <v>慕容皝</v>
      </c>
      <c r="G68" s="1">
        <f>IFERROR(__xludf.DUMMYFUNCTION("""COMPUTED_VALUE"""),337.0)</f>
        <v>337</v>
      </c>
      <c r="H68" s="1">
        <f>IFERROR(__xludf.DUMMYFUNCTION("""COMPUTED_VALUE"""),10.0)</f>
        <v>10</v>
      </c>
      <c r="I68" s="1" t="str">
        <f>IFERROR(__xludf.DUMMYFUNCTION("""COMPUTED_VALUE"""),"-")</f>
        <v>-</v>
      </c>
      <c r="J68" s="1">
        <f>IFERROR(__xludf.DUMMYFUNCTION("""COMPUTED_VALUE"""),348.0)</f>
        <v>348</v>
      </c>
      <c r="K68" s="1">
        <f>IFERROR(__xludf.DUMMYFUNCTION("""COMPUTED_VALUE"""),9.0)</f>
        <v>9</v>
      </c>
      <c r="L68" s="1">
        <f>IFERROR(__xludf.DUMMYFUNCTION("""COMPUTED_VALUE"""),17.0)</f>
        <v>17</v>
      </c>
      <c r="M68" s="1" t="str">
        <f>IFERROR(__xludf.DUMMYFUNCTION("""COMPUTED_VALUE"""),"约11年")</f>
        <v>约11年</v>
      </c>
      <c r="N68" s="1" t="str">
        <f>IFERROR(__xludf.DUMMYFUNCTION("""COMPUTED_VALUE"""),"自立")</f>
        <v>自立</v>
      </c>
      <c r="O68" s="1" t="str">
        <f>IFERROR(__xludf.DUMMYFUNCTION("""COMPUTED_VALUE"""),"慕容廆之子，前燕奠基者")</f>
        <v>慕容廆之子，前燕奠基者</v>
      </c>
    </row>
    <row r="69">
      <c r="A69" s="1" t="str">
        <f>IFERROR(__xludf.DUMMYFUNCTION("SPLIT(CSV!A:A,"","")"),"成汉")</f>
        <v>成汉</v>
      </c>
      <c r="B69" s="1">
        <f>IFERROR(__xludf.DUMMYFUNCTION("""COMPUTED_VALUE"""),4.0)</f>
        <v>4</v>
      </c>
      <c r="C69" s="1" t="str">
        <f>IFERROR(__xludf.DUMMYFUNCTION("""COMPUTED_VALUE"""),"中宗")</f>
        <v>中宗</v>
      </c>
      <c r="D69" s="1" t="str">
        <f>IFERROR(__xludf.DUMMYFUNCTION("""COMPUTED_VALUE"""),"昭文皇帝")</f>
        <v>昭文皇帝</v>
      </c>
      <c r="E69" s="1" t="str">
        <f>IFERROR(__xludf.DUMMYFUNCTION("""COMPUTED_VALUE"""),"李寿")</f>
        <v>李寿</v>
      </c>
      <c r="F69" s="1" t="str">
        <f>IFERROR(__xludf.DUMMYFUNCTION("""COMPUTED_VALUE"""),"李寿")</f>
        <v>李寿</v>
      </c>
      <c r="G69" s="1">
        <f>IFERROR(__xludf.DUMMYFUNCTION("""COMPUTED_VALUE"""),338.0)</f>
        <v>338</v>
      </c>
      <c r="H69" s="1">
        <f>IFERROR(__xludf.DUMMYFUNCTION("""COMPUTED_VALUE"""),4.0)</f>
        <v>4</v>
      </c>
      <c r="I69" s="1" t="str">
        <f>IFERROR(__xludf.DUMMYFUNCTION("""COMPUTED_VALUE"""),"-")</f>
        <v>-</v>
      </c>
      <c r="J69" s="1">
        <f>IFERROR(__xludf.DUMMYFUNCTION("""COMPUTED_VALUE"""),343.0)</f>
        <v>343</v>
      </c>
      <c r="K69" s="1" t="str">
        <f>IFERROR(__xludf.DUMMYFUNCTION("""COMPUTED_VALUE"""),"-")</f>
        <v>-</v>
      </c>
      <c r="L69" s="1" t="str">
        <f>IFERROR(__xludf.DUMMYFUNCTION("""COMPUTED_VALUE"""),"-")</f>
        <v>-</v>
      </c>
      <c r="M69" s="1" t="str">
        <f>IFERROR(__xludf.DUMMYFUNCTION("""COMPUTED_VALUE"""),"约6年")</f>
        <v>约6年</v>
      </c>
      <c r="N69" s="1" t="str">
        <f>IFERROR(__xludf.DUMMYFUNCTION("""COMPUTED_VALUE"""),"政变")</f>
        <v>政变</v>
      </c>
      <c r="O69" s="1" t="str">
        <f>IFERROR(__xludf.DUMMYFUNCTION("""COMPUTED_VALUE"""),"李雄堂弟，废黜李期后即位，改国号为汉")</f>
        <v>李雄堂弟，废黜李期后即位，改国号为汉</v>
      </c>
    </row>
    <row r="70">
      <c r="A70" s="1" t="str">
        <f>IFERROR(__xludf.DUMMYFUNCTION("SPLIT(CSV!A:A,"","")"),"东晋")</f>
        <v>东晋</v>
      </c>
      <c r="B70" s="1">
        <f>IFERROR(__xludf.DUMMYFUNCTION("""COMPUTED_VALUE"""),4.0)</f>
        <v>4</v>
      </c>
      <c r="C70" s="1" t="str">
        <f>IFERROR(__xludf.DUMMYFUNCTION("""COMPUTED_VALUE"""),"-")</f>
        <v>-</v>
      </c>
      <c r="D70" s="1" t="str">
        <f>IFERROR(__xludf.DUMMYFUNCTION("""COMPUTED_VALUE"""),"康皇帝")</f>
        <v>康皇帝</v>
      </c>
      <c r="E70" s="1" t="str">
        <f>IFERROR(__xludf.DUMMYFUNCTION("""COMPUTED_VALUE"""),"晋康帝")</f>
        <v>晋康帝</v>
      </c>
      <c r="F70" s="1" t="str">
        <f>IFERROR(__xludf.DUMMYFUNCTION("""COMPUTED_VALUE"""),"司马岳")</f>
        <v>司马岳</v>
      </c>
      <c r="G70" s="1">
        <f>IFERROR(__xludf.DUMMYFUNCTION("""COMPUTED_VALUE"""),342.0)</f>
        <v>342</v>
      </c>
      <c r="H70" s="1">
        <f>IFERROR(__xludf.DUMMYFUNCTION("""COMPUTED_VALUE"""),7.0)</f>
        <v>7</v>
      </c>
      <c r="I70" s="1">
        <f>IFERROR(__xludf.DUMMYFUNCTION("""COMPUTED_VALUE"""),26.0)</f>
        <v>26</v>
      </c>
      <c r="J70" s="1">
        <f>IFERROR(__xludf.DUMMYFUNCTION("""COMPUTED_VALUE"""),344.0)</f>
        <v>344</v>
      </c>
      <c r="K70" s="1">
        <f>IFERROR(__xludf.DUMMYFUNCTION("""COMPUTED_VALUE"""),10.0)</f>
        <v>10</v>
      </c>
      <c r="L70" s="1">
        <f>IFERROR(__xludf.DUMMYFUNCTION("""COMPUTED_VALUE"""),17.0)</f>
        <v>17</v>
      </c>
      <c r="M70" s="1" t="str">
        <f>IFERROR(__xludf.DUMMYFUNCTION("""COMPUTED_VALUE"""),"2年83天")</f>
        <v>2年83天</v>
      </c>
      <c r="N70" s="1" t="str">
        <f>IFERROR(__xludf.DUMMYFUNCTION("""COMPUTED_VALUE"""),"继承")</f>
        <v>继承</v>
      </c>
      <c r="O70" s="1" t="str">
        <f>IFERROR(__xludf.DUMMYFUNCTION("""COMPUTED_VALUE"""),"-")</f>
        <v>-</v>
      </c>
    </row>
    <row r="71">
      <c r="A71" s="1" t="str">
        <f>IFERROR(__xludf.DUMMYFUNCTION("SPLIT(CSV!A:A,"","")"),"成汉")</f>
        <v>成汉</v>
      </c>
      <c r="B71" s="1">
        <f>IFERROR(__xludf.DUMMYFUNCTION("""COMPUTED_VALUE"""),5.0)</f>
        <v>5</v>
      </c>
      <c r="C71" s="1" t="str">
        <f>IFERROR(__xludf.DUMMYFUNCTION("""COMPUTED_VALUE"""),"-")</f>
        <v>-</v>
      </c>
      <c r="D71" s="1" t="str">
        <f>IFERROR(__xludf.DUMMYFUNCTION("""COMPUTED_VALUE"""),"-")</f>
        <v>-</v>
      </c>
      <c r="E71" s="1" t="str">
        <f>IFERROR(__xludf.DUMMYFUNCTION("""COMPUTED_VALUE"""),"李势")</f>
        <v>李势</v>
      </c>
      <c r="F71" s="1" t="str">
        <f>IFERROR(__xludf.DUMMYFUNCTION("""COMPUTED_VALUE"""),"李势")</f>
        <v>李势</v>
      </c>
      <c r="G71" s="1">
        <f>IFERROR(__xludf.DUMMYFUNCTION("""COMPUTED_VALUE"""),343.0)</f>
        <v>343</v>
      </c>
      <c r="H71" s="1" t="str">
        <f>IFERROR(__xludf.DUMMYFUNCTION("""COMPUTED_VALUE"""),"-")</f>
        <v>-</v>
      </c>
      <c r="I71" s="1" t="str">
        <f>IFERROR(__xludf.DUMMYFUNCTION("""COMPUTED_VALUE"""),"-")</f>
        <v>-</v>
      </c>
      <c r="J71" s="1">
        <f>IFERROR(__xludf.DUMMYFUNCTION("""COMPUTED_VALUE"""),347.0)</f>
        <v>347</v>
      </c>
      <c r="K71" s="1">
        <f>IFERROR(__xludf.DUMMYFUNCTION("""COMPUTED_VALUE"""),3.0)</f>
        <v>3</v>
      </c>
      <c r="L71" s="1" t="str">
        <f>IFERROR(__xludf.DUMMYFUNCTION("""COMPUTED_VALUE"""),"-")</f>
        <v>-</v>
      </c>
      <c r="M71" s="1" t="str">
        <f>IFERROR(__xludf.DUMMYFUNCTION("""COMPUTED_VALUE"""),"约5年")</f>
        <v>约5年</v>
      </c>
      <c r="N71" s="1" t="str">
        <f>IFERROR(__xludf.DUMMYFUNCTION("""COMPUTED_VALUE"""),"继承")</f>
        <v>继承</v>
      </c>
      <c r="O71" s="1" t="str">
        <f>IFERROR(__xludf.DUMMYFUNCTION("""COMPUTED_VALUE"""),"李寿长子，降于东晋，成汉亡")</f>
        <v>李寿长子，降于东晋，成汉亡</v>
      </c>
    </row>
    <row r="72">
      <c r="A72" s="1" t="str">
        <f>IFERROR(__xludf.DUMMYFUNCTION("SPLIT(CSV!A:A,"","")"),"东晋")</f>
        <v>东晋</v>
      </c>
      <c r="B72" s="1">
        <f>IFERROR(__xludf.DUMMYFUNCTION("""COMPUTED_VALUE"""),5.0)</f>
        <v>5</v>
      </c>
      <c r="C72" s="1" t="str">
        <f>IFERROR(__xludf.DUMMYFUNCTION("""COMPUTED_VALUE"""),"孝宗")</f>
        <v>孝宗</v>
      </c>
      <c r="D72" s="1" t="str">
        <f>IFERROR(__xludf.DUMMYFUNCTION("""COMPUTED_VALUE"""),"穆皇帝")</f>
        <v>穆皇帝</v>
      </c>
      <c r="E72" s="1" t="str">
        <f>IFERROR(__xludf.DUMMYFUNCTION("""COMPUTED_VALUE"""),"晋穆帝")</f>
        <v>晋穆帝</v>
      </c>
      <c r="F72" s="1" t="str">
        <f>IFERROR(__xludf.DUMMYFUNCTION("""COMPUTED_VALUE"""),"司马聃")</f>
        <v>司马聃</v>
      </c>
      <c r="G72" s="1">
        <f>IFERROR(__xludf.DUMMYFUNCTION("""COMPUTED_VALUE"""),344.0)</f>
        <v>344</v>
      </c>
      <c r="H72" s="1">
        <f>IFERROR(__xludf.DUMMYFUNCTION("""COMPUTED_VALUE"""),11.0)</f>
        <v>11</v>
      </c>
      <c r="I72" s="1">
        <f>IFERROR(__xludf.DUMMYFUNCTION("""COMPUTED_VALUE"""),18.0)</f>
        <v>18</v>
      </c>
      <c r="J72" s="1">
        <f>IFERROR(__xludf.DUMMYFUNCTION("""COMPUTED_VALUE"""),361.0)</f>
        <v>361</v>
      </c>
      <c r="K72" s="1">
        <f>IFERROR(__xludf.DUMMYFUNCTION("""COMPUTED_VALUE"""),7.0)</f>
        <v>7</v>
      </c>
      <c r="L72" s="1">
        <f>IFERROR(__xludf.DUMMYFUNCTION("""COMPUTED_VALUE"""),10.0)</f>
        <v>10</v>
      </c>
      <c r="M72" s="1" t="str">
        <f>IFERROR(__xludf.DUMMYFUNCTION("""COMPUTED_VALUE"""),"16年234天")</f>
        <v>16年234天</v>
      </c>
      <c r="N72" s="1" t="str">
        <f>IFERROR(__xludf.DUMMYFUNCTION("""COMPUTED_VALUE"""),"继承")</f>
        <v>继承</v>
      </c>
      <c r="O72" s="1" t="str">
        <f>IFERROR(__xludf.DUMMYFUNCTION("""COMPUTED_VALUE"""),"-")</f>
        <v>-</v>
      </c>
    </row>
    <row r="73">
      <c r="A73" s="1" t="str">
        <f>IFERROR(__xludf.DUMMYFUNCTION("SPLIT(CSV!A:A,"","")"),"前凉")</f>
        <v>前凉</v>
      </c>
      <c r="B73" s="1">
        <f>IFERROR(__xludf.DUMMYFUNCTION("""COMPUTED_VALUE"""),5.0)</f>
        <v>5</v>
      </c>
      <c r="C73" s="1" t="str">
        <f>IFERROR(__xludf.DUMMYFUNCTION("""COMPUTED_VALUE"""),"世宗")</f>
        <v>世宗</v>
      </c>
      <c r="D73" s="1" t="str">
        <f>IFERROR(__xludf.DUMMYFUNCTION("""COMPUTED_VALUE"""),"桓王/敬烈公")</f>
        <v>桓王/敬烈公</v>
      </c>
      <c r="E73" s="1" t="str">
        <f>IFERROR(__xludf.DUMMYFUNCTION("""COMPUTED_VALUE"""),"张重华")</f>
        <v>张重华</v>
      </c>
      <c r="F73" s="1" t="str">
        <f>IFERROR(__xludf.DUMMYFUNCTION("""COMPUTED_VALUE"""),"张重华")</f>
        <v>张重华</v>
      </c>
      <c r="G73" s="1">
        <f>IFERROR(__xludf.DUMMYFUNCTION("""COMPUTED_VALUE"""),346.0)</f>
        <v>346</v>
      </c>
      <c r="H73" s="1">
        <f>IFERROR(__xludf.DUMMYFUNCTION("""COMPUTED_VALUE"""),4.0)</f>
        <v>4</v>
      </c>
      <c r="I73" s="1" t="str">
        <f>IFERROR(__xludf.DUMMYFUNCTION("""COMPUTED_VALUE"""),"-")</f>
        <v>-</v>
      </c>
      <c r="J73" s="1">
        <f>IFERROR(__xludf.DUMMYFUNCTION("""COMPUTED_VALUE"""),353.0)</f>
        <v>353</v>
      </c>
      <c r="K73" s="1">
        <f>IFERROR(__xludf.DUMMYFUNCTION("""COMPUTED_VALUE"""),11.0)</f>
        <v>11</v>
      </c>
      <c r="L73" s="1" t="str">
        <f>IFERROR(__xludf.DUMMYFUNCTION("""COMPUTED_VALUE"""),"-")</f>
        <v>-</v>
      </c>
      <c r="M73" s="1" t="str">
        <f>IFERROR(__xludf.DUMMYFUNCTION("""COMPUTED_VALUE"""),"约7年")</f>
        <v>约7年</v>
      </c>
      <c r="N73" s="1" t="str">
        <f>IFERROR(__xludf.DUMMYFUNCTION("""COMPUTED_VALUE"""),"继承")</f>
        <v>继承</v>
      </c>
      <c r="O73" s="1" t="str">
        <f>IFERROR(__xludf.DUMMYFUNCTION("""COMPUTED_VALUE"""),"张骏之子")</f>
        <v>张骏之子</v>
      </c>
    </row>
    <row r="74">
      <c r="A74" s="1" t="str">
        <f>IFERROR(__xludf.DUMMYFUNCTION("SPLIT(CSV!A:A,"","")"),"前燕")</f>
        <v>前燕</v>
      </c>
      <c r="B74" s="1">
        <f>IFERROR(__xludf.DUMMYFUNCTION("""COMPUTED_VALUE"""),2.0)</f>
        <v>2</v>
      </c>
      <c r="C74" s="1" t="str">
        <f>IFERROR(__xludf.DUMMYFUNCTION("""COMPUTED_VALUE"""),"烈祖")</f>
        <v>烈祖</v>
      </c>
      <c r="D74" s="1" t="str">
        <f>IFERROR(__xludf.DUMMYFUNCTION("""COMPUTED_VALUE"""),"景昭皇帝")</f>
        <v>景昭皇帝</v>
      </c>
      <c r="E74" s="1" t="str">
        <f>IFERROR(__xludf.DUMMYFUNCTION("""COMPUTED_VALUE"""),"慕容儁")</f>
        <v>慕容儁</v>
      </c>
      <c r="F74" s="1" t="str">
        <f>IFERROR(__xludf.DUMMYFUNCTION("""COMPUTED_VALUE"""),"慕容儁")</f>
        <v>慕容儁</v>
      </c>
      <c r="G74" s="1">
        <f>IFERROR(__xludf.DUMMYFUNCTION("""COMPUTED_VALUE"""),348.0)</f>
        <v>348</v>
      </c>
      <c r="H74" s="1">
        <f>IFERROR(__xludf.DUMMYFUNCTION("""COMPUTED_VALUE"""),9.0)</f>
        <v>9</v>
      </c>
      <c r="I74" s="1">
        <f>IFERROR(__xludf.DUMMYFUNCTION("""COMPUTED_VALUE"""),17.0)</f>
        <v>17</v>
      </c>
      <c r="J74" s="1">
        <f>IFERROR(__xludf.DUMMYFUNCTION("""COMPUTED_VALUE"""),360.0)</f>
        <v>360</v>
      </c>
      <c r="K74" s="1">
        <f>IFERROR(__xludf.DUMMYFUNCTION("""COMPUTED_VALUE"""),1.0)</f>
        <v>1</v>
      </c>
      <c r="L74" s="1" t="str">
        <f>IFERROR(__xludf.DUMMYFUNCTION("""COMPUTED_VALUE"""),"-")</f>
        <v>-</v>
      </c>
      <c r="M74" s="1" t="str">
        <f>IFERROR(__xludf.DUMMYFUNCTION("""COMPUTED_VALUE"""),"约12年")</f>
        <v>约12年</v>
      </c>
      <c r="N74" s="1" t="str">
        <f>IFERROR(__xludf.DUMMYFUNCTION("""COMPUTED_VALUE"""),"继承")</f>
        <v>继承</v>
      </c>
      <c r="O74" s="1" t="str">
        <f>IFERROR(__xludf.DUMMYFUNCTION("""COMPUTED_VALUE"""),"慕容皝之子，352年称帝")</f>
        <v>慕容皝之子，352年称帝</v>
      </c>
    </row>
    <row r="75">
      <c r="A75" s="1" t="str">
        <f>IFERROR(__xludf.DUMMYFUNCTION("SPLIT(CSV!A:A,"","")"),"后赵")</f>
        <v>后赵</v>
      </c>
      <c r="B75" s="1">
        <f>IFERROR(__xludf.DUMMYFUNCTION("""COMPUTED_VALUE"""),4.0)</f>
        <v>4</v>
      </c>
      <c r="C75" s="1" t="str">
        <f>IFERROR(__xludf.DUMMYFUNCTION("""COMPUTED_VALUE"""),"-")</f>
        <v>-</v>
      </c>
      <c r="D75" s="1" t="str">
        <f>IFERROR(__xludf.DUMMYFUNCTION("""COMPUTED_VALUE"""),"-")</f>
        <v>-</v>
      </c>
      <c r="E75" s="1" t="str">
        <f>IFERROR(__xludf.DUMMYFUNCTION("""COMPUTED_VALUE"""),"石世")</f>
        <v>石世</v>
      </c>
      <c r="F75" s="1" t="str">
        <f>IFERROR(__xludf.DUMMYFUNCTION("""COMPUTED_VALUE"""),"石世")</f>
        <v>石世</v>
      </c>
      <c r="G75" s="1">
        <f>IFERROR(__xludf.DUMMYFUNCTION("""COMPUTED_VALUE"""),349.0)</f>
        <v>349</v>
      </c>
      <c r="H75" s="1">
        <f>IFERROR(__xludf.DUMMYFUNCTION("""COMPUTED_VALUE"""),4.0)</f>
        <v>4</v>
      </c>
      <c r="I75" s="1">
        <f>IFERROR(__xludf.DUMMYFUNCTION("""COMPUTED_VALUE"""),23.0)</f>
        <v>23</v>
      </c>
      <c r="J75" s="1">
        <f>IFERROR(__xludf.DUMMYFUNCTION("""COMPUTED_VALUE"""),349.0)</f>
        <v>349</v>
      </c>
      <c r="K75" s="1">
        <f>IFERROR(__xludf.DUMMYFUNCTION("""COMPUTED_VALUE"""),5.0)</f>
        <v>5</v>
      </c>
      <c r="L75" s="1" t="str">
        <f>IFERROR(__xludf.DUMMYFUNCTION("""COMPUTED_VALUE"""),"-")</f>
        <v>-</v>
      </c>
      <c r="M75" s="1" t="str">
        <f>IFERROR(__xludf.DUMMYFUNCTION("""COMPUTED_VALUE"""),"33天")</f>
        <v>33天</v>
      </c>
      <c r="N75" s="1" t="str">
        <f>IFERROR(__xludf.DUMMYFUNCTION("""COMPUTED_VALUE"""),"继承")</f>
        <v>继承</v>
      </c>
      <c r="O75" s="1" t="str">
        <f>IFERROR(__xludf.DUMMYFUNCTION("""COMPUTED_VALUE"""),"石虎之子，在位仅33日")</f>
        <v>石虎之子，在位仅33日</v>
      </c>
    </row>
    <row r="76">
      <c r="A76" s="1" t="str">
        <f>IFERROR(__xludf.DUMMYFUNCTION("SPLIT(CSV!A:A,"","")"),"后赵")</f>
        <v>后赵</v>
      </c>
      <c r="B76" s="1">
        <f>IFERROR(__xludf.DUMMYFUNCTION("""COMPUTED_VALUE"""),5.0)</f>
        <v>5</v>
      </c>
      <c r="C76" s="1" t="str">
        <f>IFERROR(__xludf.DUMMYFUNCTION("""COMPUTED_VALUE"""),"-")</f>
        <v>-</v>
      </c>
      <c r="D76" s="1" t="str">
        <f>IFERROR(__xludf.DUMMYFUNCTION("""COMPUTED_VALUE"""),"-")</f>
        <v>-</v>
      </c>
      <c r="E76" s="1" t="str">
        <f>IFERROR(__xludf.DUMMYFUNCTION("""COMPUTED_VALUE"""),"石遵")</f>
        <v>石遵</v>
      </c>
      <c r="F76" s="1" t="str">
        <f>IFERROR(__xludf.DUMMYFUNCTION("""COMPUTED_VALUE"""),"石遵")</f>
        <v>石遵</v>
      </c>
      <c r="G76" s="1">
        <f>IFERROR(__xludf.DUMMYFUNCTION("""COMPUTED_VALUE"""),349.0)</f>
        <v>349</v>
      </c>
      <c r="H76" s="1">
        <f>IFERROR(__xludf.DUMMYFUNCTION("""COMPUTED_VALUE"""),5.0)</f>
        <v>5</v>
      </c>
      <c r="I76" s="1" t="str">
        <f>IFERROR(__xludf.DUMMYFUNCTION("""COMPUTED_VALUE"""),"-")</f>
        <v>-</v>
      </c>
      <c r="J76" s="1">
        <f>IFERROR(__xludf.DUMMYFUNCTION("""COMPUTED_VALUE"""),349.0)</f>
        <v>349</v>
      </c>
      <c r="K76" s="1">
        <f>IFERROR(__xludf.DUMMYFUNCTION("""COMPUTED_VALUE"""),11.0)</f>
        <v>11</v>
      </c>
      <c r="L76" s="1" t="str">
        <f>IFERROR(__xludf.DUMMYFUNCTION("""COMPUTED_VALUE"""),"-")</f>
        <v>-</v>
      </c>
      <c r="M76" s="1" t="str">
        <f>IFERROR(__xludf.DUMMYFUNCTION("""COMPUTED_VALUE"""),"约6个月")</f>
        <v>约6个月</v>
      </c>
      <c r="N76" s="1" t="str">
        <f>IFERROR(__xludf.DUMMYFUNCTION("""COMPUTED_VALUE"""),"政变")</f>
        <v>政变</v>
      </c>
      <c r="O76" s="1" t="str">
        <f>IFERROR(__xludf.DUMMYFUNCTION("""COMPUTED_VALUE"""),"石虎之子，废石世自立")</f>
        <v>石虎之子，废石世自立</v>
      </c>
    </row>
    <row r="77">
      <c r="A77" s="1" t="str">
        <f>IFERROR(__xludf.DUMMYFUNCTION("SPLIT(CSV!A:A,"","")"),"后赵")</f>
        <v>后赵</v>
      </c>
      <c r="B77" s="1">
        <f>IFERROR(__xludf.DUMMYFUNCTION("""COMPUTED_VALUE"""),6.0)</f>
        <v>6</v>
      </c>
      <c r="C77" s="1" t="str">
        <f>IFERROR(__xludf.DUMMYFUNCTION("""COMPUTED_VALUE"""),"-")</f>
        <v>-</v>
      </c>
      <c r="D77" s="1" t="str">
        <f>IFERROR(__xludf.DUMMYFUNCTION("""COMPUTED_VALUE"""),"-")</f>
        <v>-</v>
      </c>
      <c r="E77" s="1" t="str">
        <f>IFERROR(__xludf.DUMMYFUNCTION("""COMPUTED_VALUE"""),"石鉴")</f>
        <v>石鉴</v>
      </c>
      <c r="F77" s="1" t="str">
        <f>IFERROR(__xludf.DUMMYFUNCTION("""COMPUTED_VALUE"""),"石鉴")</f>
        <v>石鉴</v>
      </c>
      <c r="G77" s="1">
        <f>IFERROR(__xludf.DUMMYFUNCTION("""COMPUTED_VALUE"""),349.0)</f>
        <v>349</v>
      </c>
      <c r="H77" s="1">
        <f>IFERROR(__xludf.DUMMYFUNCTION("""COMPUTED_VALUE"""),11.0)</f>
        <v>11</v>
      </c>
      <c r="I77" s="1" t="str">
        <f>IFERROR(__xludf.DUMMYFUNCTION("""COMPUTED_VALUE"""),"-")</f>
        <v>-</v>
      </c>
      <c r="J77" s="1">
        <f>IFERROR(__xludf.DUMMYFUNCTION("""COMPUTED_VALUE"""),350.0)</f>
        <v>350</v>
      </c>
      <c r="K77" s="1">
        <f>IFERROR(__xludf.DUMMYFUNCTION("""COMPUTED_VALUE"""),1.0)</f>
        <v>1</v>
      </c>
      <c r="L77" s="1" t="str">
        <f>IFERROR(__xludf.DUMMYFUNCTION("""COMPUTED_VALUE"""),"-")</f>
        <v>-</v>
      </c>
      <c r="M77" s="1" t="str">
        <f>IFERROR(__xludf.DUMMYFUNCTION("""COMPUTED_VALUE"""),"约3个月")</f>
        <v>约3个月</v>
      </c>
      <c r="N77" s="1" t="str">
        <f>IFERROR(__xludf.DUMMYFUNCTION("""COMPUTED_VALUE"""),"政变")</f>
        <v>政变</v>
      </c>
      <c r="O77" s="1" t="str">
        <f>IFERROR(__xludf.DUMMYFUNCTION("""COMPUTED_VALUE"""),"石虎之子，废石遵自立")</f>
        <v>石虎之子，废石遵自立</v>
      </c>
    </row>
    <row r="78">
      <c r="A78" s="1" t="str">
        <f>IFERROR(__xludf.DUMMYFUNCTION("SPLIT(CSV!A:A,"","")"),"后赵")</f>
        <v>后赵</v>
      </c>
      <c r="B78" s="1">
        <f>IFERROR(__xludf.DUMMYFUNCTION("""COMPUTED_VALUE"""),7.0)</f>
        <v>7</v>
      </c>
      <c r="C78" s="1" t="str">
        <f>IFERROR(__xludf.DUMMYFUNCTION("""COMPUTED_VALUE"""),"-")</f>
        <v>-</v>
      </c>
      <c r="D78" s="1" t="str">
        <f>IFERROR(__xludf.DUMMYFUNCTION("""COMPUTED_VALUE"""),"-")</f>
        <v>-</v>
      </c>
      <c r="E78" s="1" t="str">
        <f>IFERROR(__xludf.DUMMYFUNCTION("""COMPUTED_VALUE"""),"石祗")</f>
        <v>石祗</v>
      </c>
      <c r="F78" s="1" t="str">
        <f>IFERROR(__xludf.DUMMYFUNCTION("""COMPUTED_VALUE"""),"石祗")</f>
        <v>石祗</v>
      </c>
      <c r="G78" s="1">
        <f>IFERROR(__xludf.DUMMYFUNCTION("""COMPUTED_VALUE"""),350.0)</f>
        <v>350</v>
      </c>
      <c r="H78" s="1">
        <f>IFERROR(__xludf.DUMMYFUNCTION("""COMPUTED_VALUE"""),1.0)</f>
        <v>1</v>
      </c>
      <c r="I78" s="1" t="str">
        <f>IFERROR(__xludf.DUMMYFUNCTION("""COMPUTED_VALUE"""),"-")</f>
        <v>-</v>
      </c>
      <c r="J78" s="1">
        <f>IFERROR(__xludf.DUMMYFUNCTION("""COMPUTED_VALUE"""),351.0)</f>
        <v>351</v>
      </c>
      <c r="K78" s="1">
        <f>IFERROR(__xludf.DUMMYFUNCTION("""COMPUTED_VALUE"""),4.0)</f>
        <v>4</v>
      </c>
      <c r="L78" s="1" t="str">
        <f>IFERROR(__xludf.DUMMYFUNCTION("""COMPUTED_VALUE"""),"-")</f>
        <v>-</v>
      </c>
      <c r="M78" s="1" t="str">
        <f>IFERROR(__xludf.DUMMYFUNCTION("""COMPUTED_VALUE"""),"约1年")</f>
        <v>约1年</v>
      </c>
      <c r="N78" s="1" t="str">
        <f>IFERROR(__xludf.DUMMYFUNCTION("""COMPUTED_VALUE"""),"自立")</f>
        <v>自立</v>
      </c>
      <c r="O78" s="1" t="str">
        <f>IFERROR(__xludf.DUMMYFUNCTION("""COMPUTED_VALUE"""),"石虎之子，后赵末代君主")</f>
        <v>石虎之子，后赵末代君主</v>
      </c>
    </row>
    <row r="79">
      <c r="A79" s="1" t="str">
        <f>IFERROR(__xludf.DUMMYFUNCTION("SPLIT(CSV!A:A,"","")"),"前秦")</f>
        <v>前秦</v>
      </c>
      <c r="B79" s="1">
        <f>IFERROR(__xludf.DUMMYFUNCTION("""COMPUTED_VALUE"""),1.0)</f>
        <v>1</v>
      </c>
      <c r="C79" s="1" t="str">
        <f>IFERROR(__xludf.DUMMYFUNCTION("""COMPUTED_VALUE"""),"太祖")</f>
        <v>太祖</v>
      </c>
      <c r="D79" s="1" t="str">
        <f>IFERROR(__xludf.DUMMYFUNCTION("""COMPUTED_VALUE"""),"惠武皇帝")</f>
        <v>惠武皇帝</v>
      </c>
      <c r="E79" s="1" t="str">
        <f>IFERROR(__xludf.DUMMYFUNCTION("""COMPUTED_VALUE"""),"苻洪")</f>
        <v>苻洪</v>
      </c>
      <c r="F79" s="1" t="str">
        <f>IFERROR(__xludf.DUMMYFUNCTION("""COMPUTED_VALUE"""),"苻洪")</f>
        <v>苻洪</v>
      </c>
      <c r="G79" s="1">
        <f>IFERROR(__xludf.DUMMYFUNCTION("""COMPUTED_VALUE"""),350.0)</f>
        <v>350</v>
      </c>
      <c r="H79" s="1">
        <f>IFERROR(__xludf.DUMMYFUNCTION("""COMPUTED_VALUE"""),1.0)</f>
        <v>1</v>
      </c>
      <c r="I79" s="1" t="str">
        <f>IFERROR(__xludf.DUMMYFUNCTION("""COMPUTED_VALUE"""),"-")</f>
        <v>-</v>
      </c>
      <c r="J79" s="1">
        <f>IFERROR(__xludf.DUMMYFUNCTION("""COMPUTED_VALUE"""),350.0)</f>
        <v>350</v>
      </c>
      <c r="K79" s="1">
        <f>IFERROR(__xludf.DUMMYFUNCTION("""COMPUTED_VALUE"""),3.0)</f>
        <v>3</v>
      </c>
      <c r="L79" s="1" t="str">
        <f>IFERROR(__xludf.DUMMYFUNCTION("""COMPUTED_VALUE"""),"-")</f>
        <v>-</v>
      </c>
      <c r="M79" s="1" t="str">
        <f>IFERROR(__xludf.DUMMYFUNCTION("""COMPUTED_VALUE"""),"约3个月")</f>
        <v>约3个月</v>
      </c>
      <c r="N79" s="1" t="str">
        <f>IFERROR(__xludf.DUMMYFUNCTION("""COMPUTED_VALUE"""),"自立")</f>
        <v>自立</v>
      </c>
      <c r="O79" s="1" t="str">
        <f>IFERROR(__xludf.DUMMYFUNCTION("""COMPUTED_VALUE"""),"前秦奠基者")</f>
        <v>前秦奠基者</v>
      </c>
    </row>
    <row r="80">
      <c r="A80" s="1" t="str">
        <f>IFERROR(__xludf.DUMMYFUNCTION("SPLIT(CSV!A:A,"","")"),"前秦")</f>
        <v>前秦</v>
      </c>
      <c r="B80" s="1">
        <f>IFERROR(__xludf.DUMMYFUNCTION("""COMPUTED_VALUE"""),2.0)</f>
        <v>2</v>
      </c>
      <c r="C80" s="1" t="str">
        <f>IFERROR(__xludf.DUMMYFUNCTION("""COMPUTED_VALUE"""),"世宗")</f>
        <v>世宗</v>
      </c>
      <c r="D80" s="1" t="str">
        <f>IFERROR(__xludf.DUMMYFUNCTION("""COMPUTED_VALUE"""),"景明皇帝")</f>
        <v>景明皇帝</v>
      </c>
      <c r="E80" s="1" t="str">
        <f>IFERROR(__xludf.DUMMYFUNCTION("""COMPUTED_VALUE"""),"苻健")</f>
        <v>苻健</v>
      </c>
      <c r="F80" s="1" t="str">
        <f>IFERROR(__xludf.DUMMYFUNCTION("""COMPUTED_VALUE"""),"苻健")</f>
        <v>苻健</v>
      </c>
      <c r="G80" s="1">
        <f>IFERROR(__xludf.DUMMYFUNCTION("""COMPUTED_VALUE"""),350.0)</f>
        <v>350</v>
      </c>
      <c r="H80" s="1">
        <f>IFERROR(__xludf.DUMMYFUNCTION("""COMPUTED_VALUE"""),3.0)</f>
        <v>3</v>
      </c>
      <c r="I80" s="1" t="str">
        <f>IFERROR(__xludf.DUMMYFUNCTION("""COMPUTED_VALUE"""),"-")</f>
        <v>-</v>
      </c>
      <c r="J80" s="1">
        <f>IFERROR(__xludf.DUMMYFUNCTION("""COMPUTED_VALUE"""),355.0)</f>
        <v>355</v>
      </c>
      <c r="K80" s="1">
        <f>IFERROR(__xludf.DUMMYFUNCTION("""COMPUTED_VALUE"""),6.0)</f>
        <v>6</v>
      </c>
      <c r="L80" s="1" t="str">
        <f>IFERROR(__xludf.DUMMYFUNCTION("""COMPUTED_VALUE"""),"-")</f>
        <v>-</v>
      </c>
      <c r="M80" s="1" t="str">
        <f>IFERROR(__xludf.DUMMYFUNCTION("""COMPUTED_VALUE"""),"约5年")</f>
        <v>约5年</v>
      </c>
      <c r="N80" s="1" t="str">
        <f>IFERROR(__xludf.DUMMYFUNCTION("""COMPUTED_VALUE"""),"继承")</f>
        <v>继承</v>
      </c>
      <c r="O80" s="1" t="str">
        <f>IFERROR(__xludf.DUMMYFUNCTION("""COMPUTED_VALUE"""),"苻洪第三子，351年称帝")</f>
        <v>苻洪第三子，351年称帝</v>
      </c>
    </row>
    <row r="81">
      <c r="A81" s="1" t="str">
        <f>IFERROR(__xludf.DUMMYFUNCTION("SPLIT(CSV!A:A,"","")"),"前凉")</f>
        <v>前凉</v>
      </c>
      <c r="B81" s="1">
        <f>IFERROR(__xludf.DUMMYFUNCTION("""COMPUTED_VALUE"""),6.0)</f>
        <v>6</v>
      </c>
      <c r="C81" s="1" t="str">
        <f>IFERROR(__xludf.DUMMYFUNCTION("""COMPUTED_VALUE"""),"-")</f>
        <v>-</v>
      </c>
      <c r="D81" s="1" t="str">
        <f>IFERROR(__xludf.DUMMYFUNCTION("""COMPUTED_VALUE"""),"哀公")</f>
        <v>哀公</v>
      </c>
      <c r="E81" s="1" t="str">
        <f>IFERROR(__xludf.DUMMYFUNCTION("""COMPUTED_VALUE"""),"张曜灵")</f>
        <v>张曜灵</v>
      </c>
      <c r="F81" s="1" t="str">
        <f>IFERROR(__xludf.DUMMYFUNCTION("""COMPUTED_VALUE"""),"张曜灵")</f>
        <v>张曜灵</v>
      </c>
      <c r="G81" s="1">
        <f>IFERROR(__xludf.DUMMYFUNCTION("""COMPUTED_VALUE"""),353.0)</f>
        <v>353</v>
      </c>
      <c r="H81" s="1">
        <f>IFERROR(__xludf.DUMMYFUNCTION("""COMPUTED_VALUE"""),11.0)</f>
        <v>11</v>
      </c>
      <c r="I81" s="1" t="str">
        <f>IFERROR(__xludf.DUMMYFUNCTION("""COMPUTED_VALUE"""),"-")</f>
        <v>-</v>
      </c>
      <c r="J81" s="1">
        <f>IFERROR(__xludf.DUMMYFUNCTION("""COMPUTED_VALUE"""),353.0)</f>
        <v>353</v>
      </c>
      <c r="K81" s="1">
        <f>IFERROR(__xludf.DUMMYFUNCTION("""COMPUTED_VALUE"""),12.0)</f>
        <v>12</v>
      </c>
      <c r="L81" s="1" t="str">
        <f>IFERROR(__xludf.DUMMYFUNCTION("""COMPUTED_VALUE"""),"-")</f>
        <v>-</v>
      </c>
      <c r="M81" s="1" t="str">
        <f>IFERROR(__xludf.DUMMYFUNCTION("""COMPUTED_VALUE"""),"约1个月")</f>
        <v>约1个月</v>
      </c>
      <c r="N81" s="1" t="str">
        <f>IFERROR(__xludf.DUMMYFUNCTION("""COMPUTED_VALUE"""),"继承")</f>
        <v>继承</v>
      </c>
      <c r="O81" s="1" t="str">
        <f>IFERROR(__xludf.DUMMYFUNCTION("""COMPUTED_VALUE"""),"张重华之子，被张祚废黜")</f>
        <v>张重华之子，被张祚废黜</v>
      </c>
    </row>
    <row r="82">
      <c r="A82" s="1" t="str">
        <f>IFERROR(__xludf.DUMMYFUNCTION("SPLIT(CSV!A:A,"","")"),"前凉")</f>
        <v>前凉</v>
      </c>
      <c r="B82" s="1">
        <f>IFERROR(__xludf.DUMMYFUNCTION("""COMPUTED_VALUE"""),7.0)</f>
        <v>7</v>
      </c>
      <c r="C82" s="1" t="str">
        <f>IFERROR(__xludf.DUMMYFUNCTION("""COMPUTED_VALUE"""),"-")</f>
        <v>-</v>
      </c>
      <c r="D82" s="1" t="str">
        <f>IFERROR(__xludf.DUMMYFUNCTION("""COMPUTED_VALUE"""),"威王")</f>
        <v>威王</v>
      </c>
      <c r="E82" s="1" t="str">
        <f>IFERROR(__xludf.DUMMYFUNCTION("""COMPUTED_VALUE"""),"张祚")</f>
        <v>张祚</v>
      </c>
      <c r="F82" s="1" t="str">
        <f>IFERROR(__xludf.DUMMYFUNCTION("""COMPUTED_VALUE"""),"张祚")</f>
        <v>张祚</v>
      </c>
      <c r="G82" s="1">
        <f>IFERROR(__xludf.DUMMYFUNCTION("""COMPUTED_VALUE"""),353.0)</f>
        <v>353</v>
      </c>
      <c r="H82" s="1">
        <f>IFERROR(__xludf.DUMMYFUNCTION("""COMPUTED_VALUE"""),12.0)</f>
        <v>12</v>
      </c>
      <c r="I82" s="1" t="str">
        <f>IFERROR(__xludf.DUMMYFUNCTION("""COMPUTED_VALUE"""),"-")</f>
        <v>-</v>
      </c>
      <c r="J82" s="1">
        <f>IFERROR(__xludf.DUMMYFUNCTION("""COMPUTED_VALUE"""),355.0)</f>
        <v>355</v>
      </c>
      <c r="K82" s="1">
        <f>IFERROR(__xludf.DUMMYFUNCTION("""COMPUTED_VALUE"""),9.0)</f>
        <v>9</v>
      </c>
      <c r="L82" s="1" t="str">
        <f>IFERROR(__xludf.DUMMYFUNCTION("""COMPUTED_VALUE"""),"-")</f>
        <v>-</v>
      </c>
      <c r="M82" s="1" t="str">
        <f>IFERROR(__xludf.DUMMYFUNCTION("""COMPUTED_VALUE"""),"约2年")</f>
        <v>约2年</v>
      </c>
      <c r="N82" s="1" t="str">
        <f>IFERROR(__xludf.DUMMYFUNCTION("""COMPUTED_VALUE"""),"篡位")</f>
        <v>篡位</v>
      </c>
      <c r="O82" s="1" t="str">
        <f>IFERROR(__xludf.DUMMYFUNCTION("""COMPUTED_VALUE"""),"张骏庶长子，废张曜灵自立，称帝")</f>
        <v>张骏庶长子，废张曜灵自立，称帝</v>
      </c>
    </row>
    <row r="83">
      <c r="A83" s="1" t="str">
        <f>IFERROR(__xludf.DUMMYFUNCTION("SPLIT(CSV!A:A,"","")"),"前秦")</f>
        <v>前秦</v>
      </c>
      <c r="B83" s="1">
        <f>IFERROR(__xludf.DUMMYFUNCTION("""COMPUTED_VALUE"""),3.0)</f>
        <v>3</v>
      </c>
      <c r="C83" s="1" t="str">
        <f>IFERROR(__xludf.DUMMYFUNCTION("""COMPUTED_VALUE"""),"-")</f>
        <v>-</v>
      </c>
      <c r="D83" s="1" t="str">
        <f>IFERROR(__xludf.DUMMYFUNCTION("""COMPUTED_VALUE"""),"厉王")</f>
        <v>厉王</v>
      </c>
      <c r="E83" s="1" t="str">
        <f>IFERROR(__xludf.DUMMYFUNCTION("""COMPUTED_VALUE"""),"苻生")</f>
        <v>苻生</v>
      </c>
      <c r="F83" s="1" t="str">
        <f>IFERROR(__xludf.DUMMYFUNCTION("""COMPUTED_VALUE"""),"苻生")</f>
        <v>苻生</v>
      </c>
      <c r="G83" s="1">
        <f>IFERROR(__xludf.DUMMYFUNCTION("""COMPUTED_VALUE"""),355.0)</f>
        <v>355</v>
      </c>
      <c r="H83" s="1">
        <f>IFERROR(__xludf.DUMMYFUNCTION("""COMPUTED_VALUE"""),6.0)</f>
        <v>6</v>
      </c>
      <c r="I83" s="1" t="str">
        <f>IFERROR(__xludf.DUMMYFUNCTION("""COMPUTED_VALUE"""),"-")</f>
        <v>-</v>
      </c>
      <c r="J83" s="1">
        <f>IFERROR(__xludf.DUMMYFUNCTION("""COMPUTED_VALUE"""),357.0)</f>
        <v>357</v>
      </c>
      <c r="K83" s="1">
        <f>IFERROR(__xludf.DUMMYFUNCTION("""COMPUTED_VALUE"""),5.0)</f>
        <v>5</v>
      </c>
      <c r="L83" s="1" t="str">
        <f>IFERROR(__xludf.DUMMYFUNCTION("""COMPUTED_VALUE"""),"-")</f>
        <v>-</v>
      </c>
      <c r="M83" s="1" t="str">
        <f>IFERROR(__xludf.DUMMYFUNCTION("""COMPUTED_VALUE"""),"约2年")</f>
        <v>约2年</v>
      </c>
      <c r="N83" s="1" t="str">
        <f>IFERROR(__xludf.DUMMYFUNCTION("""COMPUTED_VALUE"""),"继承")</f>
        <v>继承</v>
      </c>
      <c r="O83" s="1" t="str">
        <f>IFERROR(__xludf.DUMMYFUNCTION("""COMPUTED_VALUE"""),"苻健第三子")</f>
        <v>苻健第三子</v>
      </c>
    </row>
    <row r="84">
      <c r="A84" s="1" t="str">
        <f>IFERROR(__xludf.DUMMYFUNCTION("SPLIT(CSV!A:A,"","")"),"前凉")</f>
        <v>前凉</v>
      </c>
      <c r="B84" s="1">
        <f>IFERROR(__xludf.DUMMYFUNCTION("""COMPUTED_VALUE"""),8.0)</f>
        <v>8</v>
      </c>
      <c r="C84" s="1" t="str">
        <f>IFERROR(__xludf.DUMMYFUNCTION("""COMPUTED_VALUE"""),"-")</f>
        <v>-</v>
      </c>
      <c r="D84" s="1" t="str">
        <f>IFERROR(__xludf.DUMMYFUNCTION("""COMPUTED_VALUE"""),"冲王/敬悼公")</f>
        <v>冲王/敬悼公</v>
      </c>
      <c r="E84" s="1" t="str">
        <f>IFERROR(__xludf.DUMMYFUNCTION("""COMPUTED_VALUE"""),"张玄靓")</f>
        <v>张玄靓</v>
      </c>
      <c r="F84" s="1" t="str">
        <f>IFERROR(__xludf.DUMMYFUNCTION("""COMPUTED_VALUE"""),"张玄靓")</f>
        <v>张玄靓</v>
      </c>
      <c r="G84" s="1">
        <f>IFERROR(__xludf.DUMMYFUNCTION("""COMPUTED_VALUE"""),355.0)</f>
        <v>355</v>
      </c>
      <c r="H84" s="1">
        <f>IFERROR(__xludf.DUMMYFUNCTION("""COMPUTED_VALUE"""),9.0)</f>
        <v>9</v>
      </c>
      <c r="I84" s="1" t="str">
        <f>IFERROR(__xludf.DUMMYFUNCTION("""COMPUTED_VALUE"""),"-")</f>
        <v>-</v>
      </c>
      <c r="J84" s="1">
        <f>IFERROR(__xludf.DUMMYFUNCTION("""COMPUTED_VALUE"""),363.0)</f>
        <v>363</v>
      </c>
      <c r="K84" s="1">
        <f>IFERROR(__xludf.DUMMYFUNCTION("""COMPUTED_VALUE"""),8.0)</f>
        <v>8</v>
      </c>
      <c r="L84" s="1" t="str">
        <f>IFERROR(__xludf.DUMMYFUNCTION("""COMPUTED_VALUE"""),"-")</f>
        <v>-</v>
      </c>
      <c r="M84" s="1" t="str">
        <f>IFERROR(__xludf.DUMMYFUNCTION("""COMPUTED_VALUE"""),"约8年")</f>
        <v>约8年</v>
      </c>
      <c r="N84" s="1" t="str">
        <f>IFERROR(__xludf.DUMMYFUNCTION("""COMPUTED_VALUE"""),"政变")</f>
        <v>政变</v>
      </c>
      <c r="O84" s="1" t="str">
        <f>IFERROR(__xludf.DUMMYFUNCTION("""COMPUTED_VALUE"""),"张重华少子，去帝号")</f>
        <v>张重华少子，去帝号</v>
      </c>
    </row>
    <row r="85">
      <c r="A85" s="1" t="str">
        <f>IFERROR(__xludf.DUMMYFUNCTION("SPLIT(CSV!A:A,"","")"),"前秦")</f>
        <v>前秦</v>
      </c>
      <c r="B85" s="1">
        <f>IFERROR(__xludf.DUMMYFUNCTION("""COMPUTED_VALUE"""),4.0)</f>
        <v>4</v>
      </c>
      <c r="C85" s="1" t="str">
        <f>IFERROR(__xludf.DUMMYFUNCTION("""COMPUTED_VALUE"""),"世祖")</f>
        <v>世祖</v>
      </c>
      <c r="D85" s="1" t="str">
        <f>IFERROR(__xludf.DUMMYFUNCTION("""COMPUTED_VALUE"""),"宣昭皇帝")</f>
        <v>宣昭皇帝</v>
      </c>
      <c r="E85" s="1" t="str">
        <f>IFERROR(__xludf.DUMMYFUNCTION("""COMPUTED_VALUE"""),"苻坚")</f>
        <v>苻坚</v>
      </c>
      <c r="F85" s="1" t="str">
        <f>IFERROR(__xludf.DUMMYFUNCTION("""COMPUTED_VALUE"""),"苻坚")</f>
        <v>苻坚</v>
      </c>
      <c r="G85" s="1">
        <f>IFERROR(__xludf.DUMMYFUNCTION("""COMPUTED_VALUE"""),357.0)</f>
        <v>357</v>
      </c>
      <c r="H85" s="1">
        <f>IFERROR(__xludf.DUMMYFUNCTION("""COMPUTED_VALUE"""),5.0)</f>
        <v>5</v>
      </c>
      <c r="I85" s="1" t="str">
        <f>IFERROR(__xludf.DUMMYFUNCTION("""COMPUTED_VALUE"""),"-")</f>
        <v>-</v>
      </c>
      <c r="J85" s="1">
        <f>IFERROR(__xludf.DUMMYFUNCTION("""COMPUTED_VALUE"""),385.0)</f>
        <v>385</v>
      </c>
      <c r="K85" s="1">
        <f>IFERROR(__xludf.DUMMYFUNCTION("""COMPUTED_VALUE"""),8.0)</f>
        <v>8</v>
      </c>
      <c r="L85" s="1" t="str">
        <f>IFERROR(__xludf.DUMMYFUNCTION("""COMPUTED_VALUE"""),"-")</f>
        <v>-</v>
      </c>
      <c r="M85" s="1" t="str">
        <f>IFERROR(__xludf.DUMMYFUNCTION("""COMPUTED_VALUE"""),"约28年")</f>
        <v>约28年</v>
      </c>
      <c r="N85" s="1" t="str">
        <f>IFERROR(__xludf.DUMMYFUNCTION("""COMPUTED_VALUE"""),"政变")</f>
        <v>政变</v>
      </c>
      <c r="O85" s="1" t="str">
        <f>IFERROR(__xludf.DUMMYFUNCTION("""COMPUTED_VALUE"""),"苻健之侄，废杀苻生自立")</f>
        <v>苻健之侄，废杀苻生自立</v>
      </c>
    </row>
    <row r="86">
      <c r="A86" s="1" t="str">
        <f>IFERROR(__xludf.DUMMYFUNCTION("SPLIT(CSV!A:A,"","")"),"前燕")</f>
        <v>前燕</v>
      </c>
      <c r="B86" s="1">
        <f>IFERROR(__xludf.DUMMYFUNCTION("""COMPUTED_VALUE"""),3.0)</f>
        <v>3</v>
      </c>
      <c r="C86" s="1" t="str">
        <f>IFERROR(__xludf.DUMMYFUNCTION("""COMPUTED_VALUE"""),"-")</f>
        <v>-</v>
      </c>
      <c r="D86" s="1" t="str">
        <f>IFERROR(__xludf.DUMMYFUNCTION("""COMPUTED_VALUE"""),"幽皇帝")</f>
        <v>幽皇帝</v>
      </c>
      <c r="E86" s="1" t="str">
        <f>IFERROR(__xludf.DUMMYFUNCTION("""COMPUTED_VALUE"""),"慕容暐")</f>
        <v>慕容暐</v>
      </c>
      <c r="F86" s="1" t="str">
        <f>IFERROR(__xludf.DUMMYFUNCTION("""COMPUTED_VALUE"""),"慕容暐")</f>
        <v>慕容暐</v>
      </c>
      <c r="G86" s="1">
        <f>IFERROR(__xludf.DUMMYFUNCTION("""COMPUTED_VALUE"""),360.0)</f>
        <v>360</v>
      </c>
      <c r="H86" s="1">
        <f>IFERROR(__xludf.DUMMYFUNCTION("""COMPUTED_VALUE"""),1.0)</f>
        <v>1</v>
      </c>
      <c r="I86" s="1" t="str">
        <f>IFERROR(__xludf.DUMMYFUNCTION("""COMPUTED_VALUE"""),"-")</f>
        <v>-</v>
      </c>
      <c r="J86" s="1">
        <f>IFERROR(__xludf.DUMMYFUNCTION("""COMPUTED_VALUE"""),370.0)</f>
        <v>370</v>
      </c>
      <c r="K86" s="1">
        <f>IFERROR(__xludf.DUMMYFUNCTION("""COMPUTED_VALUE"""),11.0)</f>
        <v>11</v>
      </c>
      <c r="L86" s="1" t="str">
        <f>IFERROR(__xludf.DUMMYFUNCTION("""COMPUTED_VALUE"""),"-")</f>
        <v>-</v>
      </c>
      <c r="M86" s="1" t="str">
        <f>IFERROR(__xludf.DUMMYFUNCTION("""COMPUTED_VALUE"""),"约10年")</f>
        <v>约10年</v>
      </c>
      <c r="N86" s="1" t="str">
        <f>IFERROR(__xludf.DUMMYFUNCTION("""COMPUTED_VALUE"""),"继承")</f>
        <v>继承</v>
      </c>
      <c r="O86" s="1" t="str">
        <f>IFERROR(__xludf.DUMMYFUNCTION("""COMPUTED_VALUE"""),"慕容儁之子，前燕亡")</f>
        <v>慕容儁之子，前燕亡</v>
      </c>
    </row>
    <row r="87">
      <c r="A87" s="1" t="str">
        <f>IFERROR(__xludf.DUMMYFUNCTION("SPLIT(CSV!A:A,"","")"),"东晋")</f>
        <v>东晋</v>
      </c>
      <c r="B87" s="1">
        <f>IFERROR(__xludf.DUMMYFUNCTION("""COMPUTED_VALUE"""),6.0)</f>
        <v>6</v>
      </c>
      <c r="C87" s="1" t="str">
        <f>IFERROR(__xludf.DUMMYFUNCTION("""COMPUTED_VALUE"""),"-")</f>
        <v>-</v>
      </c>
      <c r="D87" s="1" t="str">
        <f>IFERROR(__xludf.DUMMYFUNCTION("""COMPUTED_VALUE"""),"哀皇帝")</f>
        <v>哀皇帝</v>
      </c>
      <c r="E87" s="1" t="str">
        <f>IFERROR(__xludf.DUMMYFUNCTION("""COMPUTED_VALUE"""),"晋哀帝")</f>
        <v>晋哀帝</v>
      </c>
      <c r="F87" s="1" t="str">
        <f>IFERROR(__xludf.DUMMYFUNCTION("""COMPUTED_VALUE"""),"司马丕")</f>
        <v>司马丕</v>
      </c>
      <c r="G87" s="1">
        <f>IFERROR(__xludf.DUMMYFUNCTION("""COMPUTED_VALUE"""),361.0)</f>
        <v>361</v>
      </c>
      <c r="H87" s="1">
        <f>IFERROR(__xludf.DUMMYFUNCTION("""COMPUTED_VALUE"""),7.0)</f>
        <v>7</v>
      </c>
      <c r="I87" s="1">
        <f>IFERROR(__xludf.DUMMYFUNCTION("""COMPUTED_VALUE"""),10.0)</f>
        <v>10</v>
      </c>
      <c r="J87" s="1">
        <f>IFERROR(__xludf.DUMMYFUNCTION("""COMPUTED_VALUE"""),365.0)</f>
        <v>365</v>
      </c>
      <c r="K87" s="1">
        <f>IFERROR(__xludf.DUMMYFUNCTION("""COMPUTED_VALUE"""),3.0)</f>
        <v>3</v>
      </c>
      <c r="L87" s="1">
        <f>IFERROR(__xludf.DUMMYFUNCTION("""COMPUTED_VALUE"""),30.0)</f>
        <v>30</v>
      </c>
      <c r="M87" s="1" t="str">
        <f>IFERROR(__xludf.DUMMYFUNCTION("""COMPUTED_VALUE"""),"3年263天")</f>
        <v>3年263天</v>
      </c>
      <c r="N87" s="1" t="str">
        <f>IFERROR(__xludf.DUMMYFUNCTION("""COMPUTED_VALUE"""),"继承")</f>
        <v>继承</v>
      </c>
      <c r="O87" s="1" t="str">
        <f>IFERROR(__xludf.DUMMYFUNCTION("""COMPUTED_VALUE"""),"-")</f>
        <v>-</v>
      </c>
    </row>
    <row r="88">
      <c r="A88" s="1" t="str">
        <f>IFERROR(__xludf.DUMMYFUNCTION("SPLIT(CSV!A:A,"","")"),"前凉")</f>
        <v>前凉</v>
      </c>
      <c r="B88" s="1">
        <f>IFERROR(__xludf.DUMMYFUNCTION("""COMPUTED_VALUE"""),9.0)</f>
        <v>9</v>
      </c>
      <c r="C88" s="1" t="str">
        <f>IFERROR(__xludf.DUMMYFUNCTION("""COMPUTED_VALUE"""),"-")</f>
        <v>-</v>
      </c>
      <c r="D88" s="1" t="str">
        <f>IFERROR(__xludf.DUMMYFUNCTION("""COMPUTED_VALUE"""),"-")</f>
        <v>-</v>
      </c>
      <c r="E88" s="1" t="str">
        <f>IFERROR(__xludf.DUMMYFUNCTION("""COMPUTED_VALUE"""),"张天锡")</f>
        <v>张天锡</v>
      </c>
      <c r="F88" s="1" t="str">
        <f>IFERROR(__xludf.DUMMYFUNCTION("""COMPUTED_VALUE"""),"张天锡")</f>
        <v>张天锡</v>
      </c>
      <c r="G88" s="1">
        <f>IFERROR(__xludf.DUMMYFUNCTION("""COMPUTED_VALUE"""),363.0)</f>
        <v>363</v>
      </c>
      <c r="H88" s="1">
        <f>IFERROR(__xludf.DUMMYFUNCTION("""COMPUTED_VALUE"""),8.0)</f>
        <v>8</v>
      </c>
      <c r="I88" s="1" t="str">
        <f>IFERROR(__xludf.DUMMYFUNCTION("""COMPUTED_VALUE"""),"-")</f>
        <v>-</v>
      </c>
      <c r="J88" s="1">
        <f>IFERROR(__xludf.DUMMYFUNCTION("""COMPUTED_VALUE"""),376.0)</f>
        <v>376</v>
      </c>
      <c r="K88" s="1">
        <f>IFERROR(__xludf.DUMMYFUNCTION("""COMPUTED_VALUE"""),8.0)</f>
        <v>8</v>
      </c>
      <c r="L88" s="1" t="str">
        <f>IFERROR(__xludf.DUMMYFUNCTION("""COMPUTED_VALUE"""),"-")</f>
        <v>-</v>
      </c>
      <c r="M88" s="1" t="str">
        <f>IFERROR(__xludf.DUMMYFUNCTION("""COMPUTED_VALUE"""),"约13年")</f>
        <v>约13年</v>
      </c>
      <c r="N88" s="1" t="str">
        <f>IFERROR(__xludf.DUMMYFUNCTION("""COMPUTED_VALUE"""),"政变")</f>
        <v>政变</v>
      </c>
      <c r="O88" s="1" t="str">
        <f>IFERROR(__xludf.DUMMYFUNCTION("""COMPUTED_VALUE"""),"张骏少子，杀张玄靓自立，降于前秦")</f>
        <v>张骏少子，杀张玄靓自立，降于前秦</v>
      </c>
    </row>
    <row r="89">
      <c r="A89" s="1" t="str">
        <f>IFERROR(__xludf.DUMMYFUNCTION("SPLIT(CSV!A:A,"","")"),"东晋")</f>
        <v>东晋</v>
      </c>
      <c r="B89" s="1">
        <f>IFERROR(__xludf.DUMMYFUNCTION("""COMPUTED_VALUE"""),7.0)</f>
        <v>7</v>
      </c>
      <c r="C89" s="1" t="str">
        <f>IFERROR(__xludf.DUMMYFUNCTION("""COMPUTED_VALUE"""),"-")</f>
        <v>-</v>
      </c>
      <c r="D89" s="1" t="str">
        <f>IFERROR(__xludf.DUMMYFUNCTION("""COMPUTED_VALUE"""),"-")</f>
        <v>-</v>
      </c>
      <c r="E89" s="1" t="str">
        <f>IFERROR(__xludf.DUMMYFUNCTION("""COMPUTED_VALUE"""),"海西公")</f>
        <v>海西公</v>
      </c>
      <c r="F89" s="1" t="str">
        <f>IFERROR(__xludf.DUMMYFUNCTION("""COMPUTED_VALUE"""),"司马奕")</f>
        <v>司马奕</v>
      </c>
      <c r="G89" s="1">
        <f>IFERROR(__xludf.DUMMYFUNCTION("""COMPUTED_VALUE"""),365.0)</f>
        <v>365</v>
      </c>
      <c r="H89" s="1">
        <f>IFERROR(__xludf.DUMMYFUNCTION("""COMPUTED_VALUE"""),3.0)</f>
        <v>3</v>
      </c>
      <c r="I89" s="1">
        <f>IFERROR(__xludf.DUMMYFUNCTION("""COMPUTED_VALUE"""),30.0)</f>
        <v>30</v>
      </c>
      <c r="J89" s="1">
        <f>IFERROR(__xludf.DUMMYFUNCTION("""COMPUTED_VALUE"""),371.0)</f>
        <v>371</v>
      </c>
      <c r="K89" s="1">
        <f>IFERROR(__xludf.DUMMYFUNCTION("""COMPUTED_VALUE"""),1.0)</f>
        <v>1</v>
      </c>
      <c r="L89" s="1">
        <f>IFERROR(__xludf.DUMMYFUNCTION("""COMPUTED_VALUE"""),6.0)</f>
        <v>6</v>
      </c>
      <c r="M89" s="1" t="str">
        <f>IFERROR(__xludf.DUMMYFUNCTION("""COMPUTED_VALUE"""),"5年282天")</f>
        <v>5年282天</v>
      </c>
      <c r="N89" s="1" t="str">
        <f>IFERROR(__xludf.DUMMYFUNCTION("""COMPUTED_VALUE"""),"继承")</f>
        <v>继承</v>
      </c>
      <c r="O89" s="1" t="str">
        <f>IFERROR(__xludf.DUMMYFUNCTION("""COMPUTED_VALUE"""),"被废")</f>
        <v>被废</v>
      </c>
    </row>
    <row r="90">
      <c r="A90" s="1" t="str">
        <f>IFERROR(__xludf.DUMMYFUNCTION("SPLIT(CSV!A:A,"","")"),"东晋")</f>
        <v>东晋</v>
      </c>
      <c r="B90" s="1">
        <f>IFERROR(__xludf.DUMMYFUNCTION("""COMPUTED_VALUE"""),8.0)</f>
        <v>8</v>
      </c>
      <c r="C90" s="1" t="str">
        <f>IFERROR(__xludf.DUMMYFUNCTION("""COMPUTED_VALUE"""),"太宗")</f>
        <v>太宗</v>
      </c>
      <c r="D90" s="1" t="str">
        <f>IFERROR(__xludf.DUMMYFUNCTION("""COMPUTED_VALUE"""),"简文皇帝")</f>
        <v>简文皇帝</v>
      </c>
      <c r="E90" s="1" t="str">
        <f>IFERROR(__xludf.DUMMYFUNCTION("""COMPUTED_VALUE"""),"晋简文帝")</f>
        <v>晋简文帝</v>
      </c>
      <c r="F90" s="1" t="str">
        <f>IFERROR(__xludf.DUMMYFUNCTION("""COMPUTED_VALUE"""),"司马昱")</f>
        <v>司马昱</v>
      </c>
      <c r="G90" s="1">
        <f>IFERROR(__xludf.DUMMYFUNCTION("""COMPUTED_VALUE"""),371.0)</f>
        <v>371</v>
      </c>
      <c r="H90" s="1">
        <f>IFERROR(__xludf.DUMMYFUNCTION("""COMPUTED_VALUE"""),1.0)</f>
        <v>1</v>
      </c>
      <c r="I90" s="1">
        <f>IFERROR(__xludf.DUMMYFUNCTION("""COMPUTED_VALUE"""),6.0)</f>
        <v>6</v>
      </c>
      <c r="J90" s="1">
        <f>IFERROR(__xludf.DUMMYFUNCTION("""COMPUTED_VALUE"""),372.0)</f>
        <v>372</v>
      </c>
      <c r="K90" s="1">
        <f>IFERROR(__xludf.DUMMYFUNCTION("""COMPUTED_VALUE"""),9.0)</f>
        <v>9</v>
      </c>
      <c r="L90" s="1">
        <f>IFERROR(__xludf.DUMMYFUNCTION("""COMPUTED_VALUE"""),12.0)</f>
        <v>12</v>
      </c>
      <c r="M90" s="1" t="str">
        <f>IFERROR(__xludf.DUMMYFUNCTION("""COMPUTED_VALUE"""),"1年249天")</f>
        <v>1年249天</v>
      </c>
      <c r="N90" s="1" t="str">
        <f>IFERROR(__xludf.DUMMYFUNCTION("""COMPUTED_VALUE"""),"篡立")</f>
        <v>篡立</v>
      </c>
      <c r="O90" s="1" t="str">
        <f>IFERROR(__xludf.DUMMYFUNCTION("""COMPUTED_VALUE"""),"-")</f>
        <v>-</v>
      </c>
    </row>
    <row r="91">
      <c r="A91" s="1" t="str">
        <f>IFERROR(__xludf.DUMMYFUNCTION("SPLIT(CSV!A:A,"","")"),"东晋")</f>
        <v>东晋</v>
      </c>
      <c r="B91" s="1">
        <f>IFERROR(__xludf.DUMMYFUNCTION("""COMPUTED_VALUE"""),9.0)</f>
        <v>9</v>
      </c>
      <c r="C91" s="1" t="str">
        <f>IFERROR(__xludf.DUMMYFUNCTION("""COMPUTED_VALUE"""),"烈宗")</f>
        <v>烈宗</v>
      </c>
      <c r="D91" s="1" t="str">
        <f>IFERROR(__xludf.DUMMYFUNCTION("""COMPUTED_VALUE"""),"孝武皇帝")</f>
        <v>孝武皇帝</v>
      </c>
      <c r="E91" s="1" t="str">
        <f>IFERROR(__xludf.DUMMYFUNCTION("""COMPUTED_VALUE"""),"晋孝武帝")</f>
        <v>晋孝武帝</v>
      </c>
      <c r="F91" s="1" t="str">
        <f>IFERROR(__xludf.DUMMYFUNCTION("""COMPUTED_VALUE"""),"司马曜")</f>
        <v>司马曜</v>
      </c>
      <c r="G91" s="1">
        <f>IFERROR(__xludf.DUMMYFUNCTION("""COMPUTED_VALUE"""),372.0)</f>
        <v>372</v>
      </c>
      <c r="H91" s="1">
        <f>IFERROR(__xludf.DUMMYFUNCTION("""COMPUTED_VALUE"""),9.0)</f>
        <v>9</v>
      </c>
      <c r="I91" s="1">
        <f>IFERROR(__xludf.DUMMYFUNCTION("""COMPUTED_VALUE"""),12.0)</f>
        <v>12</v>
      </c>
      <c r="J91" s="1">
        <f>IFERROR(__xludf.DUMMYFUNCTION("""COMPUTED_VALUE"""),396.0)</f>
        <v>396</v>
      </c>
      <c r="K91" s="1">
        <f>IFERROR(__xludf.DUMMYFUNCTION("""COMPUTED_VALUE"""),11.0)</f>
        <v>11</v>
      </c>
      <c r="L91" s="1">
        <f>IFERROR(__xludf.DUMMYFUNCTION("""COMPUTED_VALUE"""),6.0)</f>
        <v>6</v>
      </c>
      <c r="M91" s="1" t="str">
        <f>IFERROR(__xludf.DUMMYFUNCTION("""COMPUTED_VALUE"""),"24年55天")</f>
        <v>24年55天</v>
      </c>
      <c r="N91" s="1" t="str">
        <f>IFERROR(__xludf.DUMMYFUNCTION("""COMPUTED_VALUE"""),"继承")</f>
        <v>继承</v>
      </c>
      <c r="O91" s="1" t="str">
        <f>IFERROR(__xludf.DUMMYFUNCTION("""COMPUTED_VALUE"""),"-")</f>
        <v>-</v>
      </c>
    </row>
    <row r="92">
      <c r="A92" s="1" t="str">
        <f>IFERROR(__xludf.DUMMYFUNCTION("SPLIT(CSV!A:A,"","")"),"后燕")</f>
        <v>后燕</v>
      </c>
      <c r="B92" s="1">
        <f>IFERROR(__xludf.DUMMYFUNCTION("""COMPUTED_VALUE"""),1.0)</f>
        <v>1</v>
      </c>
      <c r="C92" s="1" t="str">
        <f>IFERROR(__xludf.DUMMYFUNCTION("""COMPUTED_VALUE"""),"世祖")</f>
        <v>世祖</v>
      </c>
      <c r="D92" s="1" t="str">
        <f>IFERROR(__xludf.DUMMYFUNCTION("""COMPUTED_VALUE"""),"成武皇帝")</f>
        <v>成武皇帝</v>
      </c>
      <c r="E92" s="1" t="str">
        <f>IFERROR(__xludf.DUMMYFUNCTION("""COMPUTED_VALUE"""),"慕容垂")</f>
        <v>慕容垂</v>
      </c>
      <c r="F92" s="1" t="str">
        <f>IFERROR(__xludf.DUMMYFUNCTION("""COMPUTED_VALUE"""),"慕容垂")</f>
        <v>慕容垂</v>
      </c>
      <c r="G92" s="1">
        <f>IFERROR(__xludf.DUMMYFUNCTION("""COMPUTED_VALUE"""),384.0)</f>
        <v>384</v>
      </c>
      <c r="H92" s="1">
        <f>IFERROR(__xludf.DUMMYFUNCTION("""COMPUTED_VALUE"""),1.0)</f>
        <v>1</v>
      </c>
      <c r="I92" s="1" t="str">
        <f>IFERROR(__xludf.DUMMYFUNCTION("""COMPUTED_VALUE"""),"-")</f>
        <v>-</v>
      </c>
      <c r="J92" s="1">
        <f>IFERROR(__xludf.DUMMYFUNCTION("""COMPUTED_VALUE"""),396.0)</f>
        <v>396</v>
      </c>
      <c r="K92" s="1">
        <f>IFERROR(__xludf.DUMMYFUNCTION("""COMPUTED_VALUE"""),4.0)</f>
        <v>4</v>
      </c>
      <c r="L92" s="1" t="str">
        <f>IFERROR(__xludf.DUMMYFUNCTION("""COMPUTED_VALUE"""),"-")</f>
        <v>-</v>
      </c>
      <c r="M92" s="1" t="str">
        <f>IFERROR(__xludf.DUMMYFUNCTION("""COMPUTED_VALUE"""),"约12年")</f>
        <v>约12年</v>
      </c>
      <c r="N92" s="1" t="str">
        <f>IFERROR(__xludf.DUMMYFUNCTION("""COMPUTED_VALUE"""),"复国")</f>
        <v>复国</v>
      </c>
      <c r="O92" s="1" t="str">
        <f>IFERROR(__xludf.DUMMYFUNCTION("""COMPUTED_VALUE"""),"慕容皝第五子，386年称帝")</f>
        <v>慕容皝第五子，386年称帝</v>
      </c>
    </row>
    <row r="93">
      <c r="A93" s="1" t="str">
        <f>IFERROR(__xludf.DUMMYFUNCTION("SPLIT(CSV!A:A,"","")"),"后秦")</f>
        <v>后秦</v>
      </c>
      <c r="B93" s="1">
        <f>IFERROR(__xludf.DUMMYFUNCTION("""COMPUTED_VALUE"""),1.0)</f>
        <v>1</v>
      </c>
      <c r="C93" s="1" t="str">
        <f>IFERROR(__xludf.DUMMYFUNCTION("""COMPUTED_VALUE"""),"太祖")</f>
        <v>太祖</v>
      </c>
      <c r="D93" s="1" t="str">
        <f>IFERROR(__xludf.DUMMYFUNCTION("""COMPUTED_VALUE"""),"武昭皇帝")</f>
        <v>武昭皇帝</v>
      </c>
      <c r="E93" s="1" t="str">
        <f>IFERROR(__xludf.DUMMYFUNCTION("""COMPUTED_VALUE"""),"姚苌")</f>
        <v>姚苌</v>
      </c>
      <c r="F93" s="1" t="str">
        <f>IFERROR(__xludf.DUMMYFUNCTION("""COMPUTED_VALUE"""),"姚苌")</f>
        <v>姚苌</v>
      </c>
      <c r="G93" s="1">
        <f>IFERROR(__xludf.DUMMYFUNCTION("""COMPUTED_VALUE"""),384.0)</f>
        <v>384</v>
      </c>
      <c r="H93" s="1">
        <f>IFERROR(__xludf.DUMMYFUNCTION("""COMPUTED_VALUE"""),4.0)</f>
        <v>4</v>
      </c>
      <c r="I93" s="1" t="str">
        <f>IFERROR(__xludf.DUMMYFUNCTION("""COMPUTED_VALUE"""),"-")</f>
        <v>-</v>
      </c>
      <c r="J93" s="1">
        <f>IFERROR(__xludf.DUMMYFUNCTION("""COMPUTED_VALUE"""),393.0)</f>
        <v>393</v>
      </c>
      <c r="K93" s="1">
        <f>IFERROR(__xludf.DUMMYFUNCTION("""COMPUTED_VALUE"""),12.0)</f>
        <v>12</v>
      </c>
      <c r="L93" s="1" t="str">
        <f>IFERROR(__xludf.DUMMYFUNCTION("""COMPUTED_VALUE"""),"-")</f>
        <v>-</v>
      </c>
      <c r="M93" s="1" t="str">
        <f>IFERROR(__xludf.DUMMYFUNCTION("""COMPUTED_VALUE"""),"约9年")</f>
        <v>约9年</v>
      </c>
      <c r="N93" s="1" t="str">
        <f>IFERROR(__xludf.DUMMYFUNCTION("""COMPUTED_VALUE"""),"自立")</f>
        <v>自立</v>
      </c>
      <c r="O93" s="1" t="str">
        <f>IFERROR(__xludf.DUMMYFUNCTION("""COMPUTED_VALUE"""),"羌族，杀苻坚")</f>
        <v>羌族，杀苻坚</v>
      </c>
    </row>
    <row r="94">
      <c r="A94" s="1" t="str">
        <f>IFERROR(__xludf.DUMMYFUNCTION("SPLIT(CSV!A:A,"","")"),"前秦")</f>
        <v>前秦</v>
      </c>
      <c r="B94" s="1">
        <f>IFERROR(__xludf.DUMMYFUNCTION("""COMPUTED_VALUE"""),5.0)</f>
        <v>5</v>
      </c>
      <c r="C94" s="1" t="str">
        <f>IFERROR(__xludf.DUMMYFUNCTION("""COMPUTED_VALUE"""),"-")</f>
        <v>-</v>
      </c>
      <c r="D94" s="1" t="str">
        <f>IFERROR(__xludf.DUMMYFUNCTION("""COMPUTED_VALUE"""),"哀平皇帝")</f>
        <v>哀平皇帝</v>
      </c>
      <c r="E94" s="1" t="str">
        <f>IFERROR(__xludf.DUMMYFUNCTION("""COMPUTED_VALUE"""),"苻丕")</f>
        <v>苻丕</v>
      </c>
      <c r="F94" s="1" t="str">
        <f>IFERROR(__xludf.DUMMYFUNCTION("""COMPUTED_VALUE"""),"苻丕")</f>
        <v>苻丕</v>
      </c>
      <c r="G94" s="1">
        <f>IFERROR(__xludf.DUMMYFUNCTION("""COMPUTED_VALUE"""),385.0)</f>
        <v>385</v>
      </c>
      <c r="H94" s="1">
        <f>IFERROR(__xludf.DUMMYFUNCTION("""COMPUTED_VALUE"""),8.0)</f>
        <v>8</v>
      </c>
      <c r="I94" s="1" t="str">
        <f>IFERROR(__xludf.DUMMYFUNCTION("""COMPUTED_VALUE"""),"-")</f>
        <v>-</v>
      </c>
      <c r="J94" s="1">
        <f>IFERROR(__xludf.DUMMYFUNCTION("""COMPUTED_VALUE"""),386.0)</f>
        <v>386</v>
      </c>
      <c r="K94" s="1">
        <f>IFERROR(__xludf.DUMMYFUNCTION("""COMPUTED_VALUE"""),10.0)</f>
        <v>10</v>
      </c>
      <c r="L94" s="1" t="str">
        <f>IFERROR(__xludf.DUMMYFUNCTION("""COMPUTED_VALUE"""),"-")</f>
        <v>-</v>
      </c>
      <c r="M94" s="1" t="str">
        <f>IFERROR(__xludf.DUMMYFUNCTION("""COMPUTED_VALUE"""),"约1年")</f>
        <v>约1年</v>
      </c>
      <c r="N94" s="1" t="str">
        <f>IFERROR(__xludf.DUMMYFUNCTION("""COMPUTED_VALUE"""),"继承")</f>
        <v>继承</v>
      </c>
      <c r="O94" s="1" t="str">
        <f>IFERROR(__xludf.DUMMYFUNCTION("""COMPUTED_VALUE"""),"苻坚长子")</f>
        <v>苻坚长子</v>
      </c>
    </row>
    <row r="95">
      <c r="A95" s="1" t="str">
        <f>IFERROR(__xludf.DUMMYFUNCTION("SPLIT(CSV!A:A,"","")"),"西秦")</f>
        <v>西秦</v>
      </c>
      <c r="B95" s="1">
        <f>IFERROR(__xludf.DUMMYFUNCTION("""COMPUTED_VALUE"""),1.0)</f>
        <v>1</v>
      </c>
      <c r="C95" s="1" t="str">
        <f>IFERROR(__xludf.DUMMYFUNCTION("""COMPUTED_VALUE"""),"烈祖")</f>
        <v>烈祖</v>
      </c>
      <c r="D95" s="1" t="str">
        <f>IFERROR(__xludf.DUMMYFUNCTION("""COMPUTED_VALUE"""),"宣烈王/武元王")</f>
        <v>宣烈王/武元王</v>
      </c>
      <c r="E95" s="1" t="str">
        <f>IFERROR(__xludf.DUMMYFUNCTION("""COMPUTED_VALUE"""),"乞伏国仁")</f>
        <v>乞伏国仁</v>
      </c>
      <c r="F95" s="1" t="str">
        <f>IFERROR(__xludf.DUMMYFUNCTION("""COMPUTED_VALUE"""),"乞伏国仁")</f>
        <v>乞伏国仁</v>
      </c>
      <c r="G95" s="1">
        <f>IFERROR(__xludf.DUMMYFUNCTION("""COMPUTED_VALUE"""),385.0)</f>
        <v>385</v>
      </c>
      <c r="H95" s="1">
        <f>IFERROR(__xludf.DUMMYFUNCTION("""COMPUTED_VALUE"""),9.0)</f>
        <v>9</v>
      </c>
      <c r="I95" s="1" t="str">
        <f>IFERROR(__xludf.DUMMYFUNCTION("""COMPUTED_VALUE"""),"-")</f>
        <v>-</v>
      </c>
      <c r="J95" s="1">
        <f>IFERROR(__xludf.DUMMYFUNCTION("""COMPUTED_VALUE"""),388.0)</f>
        <v>388</v>
      </c>
      <c r="K95" s="1">
        <f>IFERROR(__xludf.DUMMYFUNCTION("""COMPUTED_VALUE"""),6.0)</f>
        <v>6</v>
      </c>
      <c r="L95" s="1" t="str">
        <f>IFERROR(__xludf.DUMMYFUNCTION("""COMPUTED_VALUE"""),"-")</f>
        <v>-</v>
      </c>
      <c r="M95" s="1" t="str">
        <f>IFERROR(__xludf.DUMMYFUNCTION("""COMPUTED_VALUE"""),"约3年")</f>
        <v>约3年</v>
      </c>
      <c r="N95" s="1" t="str">
        <f>IFERROR(__xludf.DUMMYFUNCTION("""COMPUTED_VALUE"""),"自立")</f>
        <v>自立</v>
      </c>
      <c r="O95" s="1" t="str">
        <f>IFERROR(__xludf.DUMMYFUNCTION("""COMPUTED_VALUE"""),"陇西鲜卑")</f>
        <v>陇西鲜卑</v>
      </c>
    </row>
    <row r="96">
      <c r="A96" s="1" t="str">
        <f>IFERROR(__xludf.DUMMYFUNCTION("SPLIT(CSV!A:A,"","")"),"北魏")</f>
        <v>北魏</v>
      </c>
      <c r="B96" s="1">
        <f>IFERROR(__xludf.DUMMYFUNCTION("""COMPUTED_VALUE"""),1.0)</f>
        <v>1</v>
      </c>
      <c r="C96" s="1" t="str">
        <f>IFERROR(__xludf.DUMMYFUNCTION("""COMPUTED_VALUE"""),"太祖")</f>
        <v>太祖</v>
      </c>
      <c r="D96" s="1" t="str">
        <f>IFERROR(__xludf.DUMMYFUNCTION("""COMPUTED_VALUE"""),"道武皇帝")</f>
        <v>道武皇帝</v>
      </c>
      <c r="E96" s="1" t="str">
        <f>IFERROR(__xludf.DUMMYFUNCTION("""COMPUTED_VALUE"""),"魏道武帝")</f>
        <v>魏道武帝</v>
      </c>
      <c r="F96" s="1" t="str">
        <f>IFERROR(__xludf.DUMMYFUNCTION("""COMPUTED_VALUE"""),"拓跋珪")</f>
        <v>拓跋珪</v>
      </c>
      <c r="G96" s="1">
        <f>IFERROR(__xludf.DUMMYFUNCTION("""COMPUTED_VALUE"""),386.0)</f>
        <v>386</v>
      </c>
      <c r="H96" s="1">
        <f>IFERROR(__xludf.DUMMYFUNCTION("""COMPUTED_VALUE"""),2.0)</f>
        <v>2</v>
      </c>
      <c r="I96" s="1">
        <f>IFERROR(__xludf.DUMMYFUNCTION("""COMPUTED_VALUE"""),20.0)</f>
        <v>20</v>
      </c>
      <c r="J96" s="1">
        <f>IFERROR(__xludf.DUMMYFUNCTION("""COMPUTED_VALUE"""),409.0)</f>
        <v>409</v>
      </c>
      <c r="K96" s="1">
        <f>IFERROR(__xludf.DUMMYFUNCTION("""COMPUTED_VALUE"""),11.0)</f>
        <v>11</v>
      </c>
      <c r="L96" s="1">
        <f>IFERROR(__xludf.DUMMYFUNCTION("""COMPUTED_VALUE"""),6.0)</f>
        <v>6</v>
      </c>
      <c r="M96" s="1" t="str">
        <f>IFERROR(__xludf.DUMMYFUNCTION("""COMPUTED_VALUE"""),"23年260天")</f>
        <v>23年260天</v>
      </c>
      <c r="N96" s="1" t="str">
        <f>IFERROR(__xludf.DUMMYFUNCTION("""COMPUTED_VALUE"""),"创业")</f>
        <v>创业</v>
      </c>
      <c r="O96" s="1" t="str">
        <f>IFERROR(__xludf.DUMMYFUNCTION("""COMPUTED_VALUE"""),"重建代国，改称魏王")</f>
        <v>重建代国，改称魏王</v>
      </c>
    </row>
    <row r="97">
      <c r="A97" s="1" t="str">
        <f>IFERROR(__xludf.DUMMYFUNCTION("SPLIT(CSV!A:A,"","")"),"前秦")</f>
        <v>前秦</v>
      </c>
      <c r="B97" s="1">
        <f>IFERROR(__xludf.DUMMYFUNCTION("""COMPUTED_VALUE"""),6.0)</f>
        <v>6</v>
      </c>
      <c r="C97" s="1" t="str">
        <f>IFERROR(__xludf.DUMMYFUNCTION("""COMPUTED_VALUE"""),"太宗")</f>
        <v>太宗</v>
      </c>
      <c r="D97" s="1" t="str">
        <f>IFERROR(__xludf.DUMMYFUNCTION("""COMPUTED_VALUE"""),"高皇帝")</f>
        <v>高皇帝</v>
      </c>
      <c r="E97" s="1" t="str">
        <f>IFERROR(__xludf.DUMMYFUNCTION("""COMPUTED_VALUE"""),"苻登")</f>
        <v>苻登</v>
      </c>
      <c r="F97" s="1" t="str">
        <f>IFERROR(__xludf.DUMMYFUNCTION("""COMPUTED_VALUE"""),"苻登")</f>
        <v>苻登</v>
      </c>
      <c r="G97" s="1">
        <f>IFERROR(__xludf.DUMMYFUNCTION("""COMPUTED_VALUE"""),386.0)</f>
        <v>386</v>
      </c>
      <c r="H97" s="1">
        <f>IFERROR(__xludf.DUMMYFUNCTION("""COMPUTED_VALUE"""),10.0)</f>
        <v>10</v>
      </c>
      <c r="I97" s="1" t="str">
        <f>IFERROR(__xludf.DUMMYFUNCTION("""COMPUTED_VALUE"""),"-")</f>
        <v>-</v>
      </c>
      <c r="J97" s="1">
        <f>IFERROR(__xludf.DUMMYFUNCTION("""COMPUTED_VALUE"""),394.0)</f>
        <v>394</v>
      </c>
      <c r="K97" s="1">
        <f>IFERROR(__xludf.DUMMYFUNCTION("""COMPUTED_VALUE"""),7.0)</f>
        <v>7</v>
      </c>
      <c r="L97" s="1" t="str">
        <f>IFERROR(__xludf.DUMMYFUNCTION("""COMPUTED_VALUE"""),"-")</f>
        <v>-</v>
      </c>
      <c r="M97" s="1" t="str">
        <f>IFERROR(__xludf.DUMMYFUNCTION("""COMPUTED_VALUE"""),"约8年")</f>
        <v>约8年</v>
      </c>
      <c r="N97" s="1" t="str">
        <f>IFERROR(__xludf.DUMMYFUNCTION("""COMPUTED_VALUE"""),"继承")</f>
        <v>继承</v>
      </c>
      <c r="O97" s="1" t="str">
        <f>IFERROR(__xludf.DUMMYFUNCTION("""COMPUTED_VALUE"""),"苻坚族孙")</f>
        <v>苻坚族孙</v>
      </c>
    </row>
    <row r="98">
      <c r="A98" s="1" t="str">
        <f>IFERROR(__xludf.DUMMYFUNCTION("SPLIT(CSV!A:A,"","")"),"后凉")</f>
        <v>后凉</v>
      </c>
      <c r="B98" s="1">
        <f>IFERROR(__xludf.DUMMYFUNCTION("""COMPUTED_VALUE"""),1.0)</f>
        <v>1</v>
      </c>
      <c r="C98" s="1" t="str">
        <f>IFERROR(__xludf.DUMMYFUNCTION("""COMPUTED_VALUE"""),"太祖")</f>
        <v>太祖</v>
      </c>
      <c r="D98" s="1" t="str">
        <f>IFERROR(__xludf.DUMMYFUNCTION("""COMPUTED_VALUE"""),"懿武皇帝/景王")</f>
        <v>懿武皇帝/景王</v>
      </c>
      <c r="E98" s="1" t="str">
        <f>IFERROR(__xludf.DUMMYFUNCTION("""COMPUTED_VALUE"""),"吕光")</f>
        <v>吕光</v>
      </c>
      <c r="F98" s="1" t="str">
        <f>IFERROR(__xludf.DUMMYFUNCTION("""COMPUTED_VALUE"""),"吕光")</f>
        <v>吕光</v>
      </c>
      <c r="G98" s="1">
        <f>IFERROR(__xludf.DUMMYFUNCTION("""COMPUTED_VALUE"""),386.0)</f>
        <v>386</v>
      </c>
      <c r="H98" s="1">
        <f>IFERROR(__xludf.DUMMYFUNCTION("""COMPUTED_VALUE"""),10.0)</f>
        <v>10</v>
      </c>
      <c r="I98" s="1" t="str">
        <f>IFERROR(__xludf.DUMMYFUNCTION("""COMPUTED_VALUE"""),"-")</f>
        <v>-</v>
      </c>
      <c r="J98" s="1">
        <f>IFERROR(__xludf.DUMMYFUNCTION("""COMPUTED_VALUE"""),399.0)</f>
        <v>399</v>
      </c>
      <c r="K98" s="1">
        <f>IFERROR(__xludf.DUMMYFUNCTION("""COMPUTED_VALUE"""),12.0)</f>
        <v>12</v>
      </c>
      <c r="L98" s="1" t="str">
        <f>IFERROR(__xludf.DUMMYFUNCTION("""COMPUTED_VALUE"""),"-")</f>
        <v>-</v>
      </c>
      <c r="M98" s="1" t="str">
        <f>IFERROR(__xludf.DUMMYFUNCTION("""COMPUTED_VALUE"""),"约13年")</f>
        <v>约13年</v>
      </c>
      <c r="N98" s="1" t="str">
        <f>IFERROR(__xludf.DUMMYFUNCTION("""COMPUTED_VALUE"""),"自立")</f>
        <v>自立</v>
      </c>
      <c r="O98" s="1" t="str">
        <f>IFERROR(__xludf.DUMMYFUNCTION("""COMPUTED_VALUE"""),"氐族，386年称帝，后改称天王")</f>
        <v>氐族，386年称帝，后改称天王</v>
      </c>
    </row>
    <row r="99">
      <c r="A99" s="1" t="str">
        <f>IFERROR(__xludf.DUMMYFUNCTION("SPLIT(CSV!A:A,"","")"),"西秦")</f>
        <v>西秦</v>
      </c>
      <c r="B99" s="1">
        <f>IFERROR(__xludf.DUMMYFUNCTION("""COMPUTED_VALUE"""),2.0)</f>
        <v>2</v>
      </c>
      <c r="C99" s="1" t="str">
        <f>IFERROR(__xludf.DUMMYFUNCTION("""COMPUTED_VALUE"""),"高祖")</f>
        <v>高祖</v>
      </c>
      <c r="D99" s="1" t="str">
        <f>IFERROR(__xludf.DUMMYFUNCTION("""COMPUTED_VALUE"""),"武元王")</f>
        <v>武元王</v>
      </c>
      <c r="E99" s="1" t="str">
        <f>IFERROR(__xludf.DUMMYFUNCTION("""COMPUTED_VALUE"""),"乞伏乾归")</f>
        <v>乞伏乾归</v>
      </c>
      <c r="F99" s="1" t="str">
        <f>IFERROR(__xludf.DUMMYFUNCTION("""COMPUTED_VALUE"""),"乞伏乾归")</f>
        <v>乞伏乾归</v>
      </c>
      <c r="G99" s="1">
        <f>IFERROR(__xludf.DUMMYFUNCTION("""COMPUTED_VALUE"""),388.0)</f>
        <v>388</v>
      </c>
      <c r="H99" s="1">
        <f>IFERROR(__xludf.DUMMYFUNCTION("""COMPUTED_VALUE"""),6.0)</f>
        <v>6</v>
      </c>
      <c r="I99" s="1" t="str">
        <f>IFERROR(__xludf.DUMMYFUNCTION("""COMPUTED_VALUE"""),"-")</f>
        <v>-</v>
      </c>
      <c r="J99" s="1">
        <f>IFERROR(__xludf.DUMMYFUNCTION("""COMPUTED_VALUE"""),412.0)</f>
        <v>412</v>
      </c>
      <c r="K99" s="1">
        <f>IFERROR(__xludf.DUMMYFUNCTION("""COMPUTED_VALUE"""),5.0)</f>
        <v>5</v>
      </c>
      <c r="L99" s="1" t="str">
        <f>IFERROR(__xludf.DUMMYFUNCTION("""COMPUTED_VALUE"""),"-")</f>
        <v>-</v>
      </c>
      <c r="M99" s="1" t="str">
        <f>IFERROR(__xludf.DUMMYFUNCTION("""COMPUTED_VALUE"""),"约24年")</f>
        <v>约24年</v>
      </c>
      <c r="N99" s="1" t="str">
        <f>IFERROR(__xludf.DUMMYFUNCTION("""COMPUTED_VALUE"""),"继承")</f>
        <v>继承</v>
      </c>
      <c r="O99" s="1" t="str">
        <f>IFERROR(__xludf.DUMMYFUNCTION("""COMPUTED_VALUE"""),"乞伏国仁之弟")</f>
        <v>乞伏国仁之弟</v>
      </c>
    </row>
    <row r="100">
      <c r="A100" s="1" t="str">
        <f>IFERROR(__xludf.DUMMYFUNCTION("SPLIT(CSV!A:A,"","")"),"后秦")</f>
        <v>后秦</v>
      </c>
      <c r="B100" s="1">
        <f>IFERROR(__xludf.DUMMYFUNCTION("""COMPUTED_VALUE"""),2.0)</f>
        <v>2</v>
      </c>
      <c r="C100" s="1" t="str">
        <f>IFERROR(__xludf.DUMMYFUNCTION("""COMPUTED_VALUE"""),"高祖")</f>
        <v>高祖</v>
      </c>
      <c r="D100" s="1" t="str">
        <f>IFERROR(__xludf.DUMMYFUNCTION("""COMPUTED_VALUE"""),"文桓皇帝")</f>
        <v>文桓皇帝</v>
      </c>
      <c r="E100" s="1" t="str">
        <f>IFERROR(__xludf.DUMMYFUNCTION("""COMPUTED_VALUE"""),"姚兴")</f>
        <v>姚兴</v>
      </c>
      <c r="F100" s="1" t="str">
        <f>IFERROR(__xludf.DUMMYFUNCTION("""COMPUTED_VALUE"""),"姚兴")</f>
        <v>姚兴</v>
      </c>
      <c r="G100" s="1">
        <f>IFERROR(__xludf.DUMMYFUNCTION("""COMPUTED_VALUE"""),394.0)</f>
        <v>394</v>
      </c>
      <c r="H100" s="1">
        <f>IFERROR(__xludf.DUMMYFUNCTION("""COMPUTED_VALUE"""),1.0)</f>
        <v>1</v>
      </c>
      <c r="I100" s="1" t="str">
        <f>IFERROR(__xludf.DUMMYFUNCTION("""COMPUTED_VALUE"""),"-")</f>
        <v>-</v>
      </c>
      <c r="J100" s="1">
        <f>IFERROR(__xludf.DUMMYFUNCTION("""COMPUTED_VALUE"""),416.0)</f>
        <v>416</v>
      </c>
      <c r="K100" s="1">
        <f>IFERROR(__xludf.DUMMYFUNCTION("""COMPUTED_VALUE"""),2.0)</f>
        <v>2</v>
      </c>
      <c r="L100" s="1" t="str">
        <f>IFERROR(__xludf.DUMMYFUNCTION("""COMPUTED_VALUE"""),"-")</f>
        <v>-</v>
      </c>
      <c r="M100" s="1" t="str">
        <f>IFERROR(__xludf.DUMMYFUNCTION("""COMPUTED_VALUE"""),"约22年")</f>
        <v>约22年</v>
      </c>
      <c r="N100" s="1" t="str">
        <f>IFERROR(__xludf.DUMMYFUNCTION("""COMPUTED_VALUE"""),"继承")</f>
        <v>继承</v>
      </c>
      <c r="O100" s="1" t="str">
        <f>IFERROR(__xludf.DUMMYFUNCTION("""COMPUTED_VALUE"""),"姚苌之子")</f>
        <v>姚苌之子</v>
      </c>
    </row>
    <row r="101">
      <c r="A101" s="1" t="str">
        <f>IFERROR(__xludf.DUMMYFUNCTION("SPLIT(CSV!A:A,"","")"),"前秦")</f>
        <v>前秦</v>
      </c>
      <c r="B101" s="1">
        <f>IFERROR(__xludf.DUMMYFUNCTION("""COMPUTED_VALUE"""),7.0)</f>
        <v>7</v>
      </c>
      <c r="C101" s="1" t="str">
        <f>IFERROR(__xludf.DUMMYFUNCTION("""COMPUTED_VALUE"""),"-")</f>
        <v>-</v>
      </c>
      <c r="D101" s="1" t="str">
        <f>IFERROR(__xludf.DUMMYFUNCTION("""COMPUTED_VALUE"""),"-")</f>
        <v>-</v>
      </c>
      <c r="E101" s="1" t="str">
        <f>IFERROR(__xludf.DUMMYFUNCTION("""COMPUTED_VALUE"""),"苻崇")</f>
        <v>苻崇</v>
      </c>
      <c r="F101" s="1" t="str">
        <f>IFERROR(__xludf.DUMMYFUNCTION("""COMPUTED_VALUE"""),"苻崇")</f>
        <v>苻崇</v>
      </c>
      <c r="G101" s="1">
        <f>IFERROR(__xludf.DUMMYFUNCTION("""COMPUTED_VALUE"""),394.0)</f>
        <v>394</v>
      </c>
      <c r="H101" s="1">
        <f>IFERROR(__xludf.DUMMYFUNCTION("""COMPUTED_VALUE"""),7.0)</f>
        <v>7</v>
      </c>
      <c r="I101" s="1" t="str">
        <f>IFERROR(__xludf.DUMMYFUNCTION("""COMPUTED_VALUE"""),"-")</f>
        <v>-</v>
      </c>
      <c r="J101" s="1">
        <f>IFERROR(__xludf.DUMMYFUNCTION("""COMPUTED_VALUE"""),394.0)</f>
        <v>394</v>
      </c>
      <c r="K101" s="1">
        <f>IFERROR(__xludf.DUMMYFUNCTION("""COMPUTED_VALUE"""),10.0)</f>
        <v>10</v>
      </c>
      <c r="L101" s="1" t="str">
        <f>IFERROR(__xludf.DUMMYFUNCTION("""COMPUTED_VALUE"""),"-")</f>
        <v>-</v>
      </c>
      <c r="M101" s="1" t="str">
        <f>IFERROR(__xludf.DUMMYFUNCTION("""COMPUTED_VALUE"""),"约3个月")</f>
        <v>约3个月</v>
      </c>
      <c r="N101" s="1" t="str">
        <f>IFERROR(__xludf.DUMMYFUNCTION("""COMPUTED_VALUE"""),"继承")</f>
        <v>继承</v>
      </c>
      <c r="O101" s="1" t="str">
        <f>IFERROR(__xludf.DUMMYFUNCTION("""COMPUTED_VALUE"""),"苻登之子，前秦亡")</f>
        <v>苻登之子，前秦亡</v>
      </c>
    </row>
    <row r="102">
      <c r="A102" s="1" t="str">
        <f>IFERROR(__xludf.DUMMYFUNCTION("SPLIT(CSV!A:A,"","")"),"后燕")</f>
        <v>后燕</v>
      </c>
      <c r="B102" s="1">
        <f>IFERROR(__xludf.DUMMYFUNCTION("""COMPUTED_VALUE"""),2.0)</f>
        <v>2</v>
      </c>
      <c r="C102" s="1" t="str">
        <f>IFERROR(__xludf.DUMMYFUNCTION("""COMPUTED_VALUE"""),"烈宗")</f>
        <v>烈宗</v>
      </c>
      <c r="D102" s="1" t="str">
        <f>IFERROR(__xludf.DUMMYFUNCTION("""COMPUTED_VALUE"""),"惠愍皇帝")</f>
        <v>惠愍皇帝</v>
      </c>
      <c r="E102" s="1" t="str">
        <f>IFERROR(__xludf.DUMMYFUNCTION("""COMPUTED_VALUE"""),"慕容宝")</f>
        <v>慕容宝</v>
      </c>
      <c r="F102" s="1" t="str">
        <f>IFERROR(__xludf.DUMMYFUNCTION("""COMPUTED_VALUE"""),"慕容宝")</f>
        <v>慕容宝</v>
      </c>
      <c r="G102" s="1">
        <f>IFERROR(__xludf.DUMMYFUNCTION("""COMPUTED_VALUE"""),396.0)</f>
        <v>396</v>
      </c>
      <c r="H102" s="1">
        <f>IFERROR(__xludf.DUMMYFUNCTION("""COMPUTED_VALUE"""),4.0)</f>
        <v>4</v>
      </c>
      <c r="I102" s="1" t="str">
        <f>IFERROR(__xludf.DUMMYFUNCTION("""COMPUTED_VALUE"""),"-")</f>
        <v>-</v>
      </c>
      <c r="J102" s="1">
        <f>IFERROR(__xludf.DUMMYFUNCTION("""COMPUTED_VALUE"""),398.0)</f>
        <v>398</v>
      </c>
      <c r="K102" s="1">
        <f>IFERROR(__xludf.DUMMYFUNCTION("""COMPUTED_VALUE"""),4.0)</f>
        <v>4</v>
      </c>
      <c r="L102" s="1" t="str">
        <f>IFERROR(__xludf.DUMMYFUNCTION("""COMPUTED_VALUE"""),"-")</f>
        <v>-</v>
      </c>
      <c r="M102" s="1" t="str">
        <f>IFERROR(__xludf.DUMMYFUNCTION("""COMPUTED_VALUE"""),"约2年")</f>
        <v>约2年</v>
      </c>
      <c r="N102" s="1" t="str">
        <f>IFERROR(__xludf.DUMMYFUNCTION("""COMPUTED_VALUE"""),"继承")</f>
        <v>继承</v>
      </c>
      <c r="O102" s="1" t="str">
        <f>IFERROR(__xludf.DUMMYFUNCTION("""COMPUTED_VALUE"""),"慕容垂第四子")</f>
        <v>慕容垂第四子</v>
      </c>
    </row>
    <row r="103">
      <c r="A103" s="1" t="str">
        <f>IFERROR(__xludf.DUMMYFUNCTION("SPLIT(CSV!A:A,"","")"),"东晋")</f>
        <v>东晋</v>
      </c>
      <c r="B103" s="1">
        <f>IFERROR(__xludf.DUMMYFUNCTION("""COMPUTED_VALUE"""),10.0)</f>
        <v>10</v>
      </c>
      <c r="C103" s="1" t="str">
        <f>IFERROR(__xludf.DUMMYFUNCTION("""COMPUTED_VALUE"""),"-")</f>
        <v>-</v>
      </c>
      <c r="D103" s="1" t="str">
        <f>IFERROR(__xludf.DUMMYFUNCTION("""COMPUTED_VALUE"""),"安皇帝")</f>
        <v>安皇帝</v>
      </c>
      <c r="E103" s="1" t="str">
        <f>IFERROR(__xludf.DUMMYFUNCTION("""COMPUTED_VALUE"""),"晋安帝")</f>
        <v>晋安帝</v>
      </c>
      <c r="F103" s="1" t="str">
        <f>IFERROR(__xludf.DUMMYFUNCTION("""COMPUTED_VALUE"""),"司马德宗")</f>
        <v>司马德宗</v>
      </c>
      <c r="G103" s="1">
        <f>IFERROR(__xludf.DUMMYFUNCTION("""COMPUTED_VALUE"""),396.0)</f>
        <v>396</v>
      </c>
      <c r="H103" s="1">
        <f>IFERROR(__xludf.DUMMYFUNCTION("""COMPUTED_VALUE"""),11.0)</f>
        <v>11</v>
      </c>
      <c r="I103" s="1">
        <f>IFERROR(__xludf.DUMMYFUNCTION("""COMPUTED_VALUE"""),7.0)</f>
        <v>7</v>
      </c>
      <c r="J103" s="1">
        <f>IFERROR(__xludf.DUMMYFUNCTION("""COMPUTED_VALUE"""),419.0)</f>
        <v>419</v>
      </c>
      <c r="K103" s="1">
        <f>IFERROR(__xludf.DUMMYFUNCTION("""COMPUTED_VALUE"""),1.0)</f>
        <v>1</v>
      </c>
      <c r="L103" s="1">
        <f>IFERROR(__xludf.DUMMYFUNCTION("""COMPUTED_VALUE"""),28.0)</f>
        <v>28</v>
      </c>
      <c r="M103" s="1" t="str">
        <f>IFERROR(__xludf.DUMMYFUNCTION("""COMPUTED_VALUE"""),"22年82天")</f>
        <v>22年82天</v>
      </c>
      <c r="N103" s="1" t="str">
        <f>IFERROR(__xludf.DUMMYFUNCTION("""COMPUTED_VALUE"""),"继承")</f>
        <v>继承</v>
      </c>
      <c r="O103" s="1" t="str">
        <f>IFERROR(__xludf.DUMMYFUNCTION("""COMPUTED_VALUE"""),"-")</f>
        <v>-</v>
      </c>
    </row>
    <row r="104">
      <c r="A104" s="1" t="str">
        <f>IFERROR(__xludf.DUMMYFUNCTION("SPLIT(CSV!A:A,"","")"),"南凉")</f>
        <v>南凉</v>
      </c>
      <c r="B104" s="1">
        <f>IFERROR(__xludf.DUMMYFUNCTION("""COMPUTED_VALUE"""),1.0)</f>
        <v>1</v>
      </c>
      <c r="C104" s="1" t="str">
        <f>IFERROR(__xludf.DUMMYFUNCTION("""COMPUTED_VALUE"""),"烈祖")</f>
        <v>烈祖</v>
      </c>
      <c r="D104" s="1" t="str">
        <f>IFERROR(__xludf.DUMMYFUNCTION("""COMPUTED_VALUE"""),"武王")</f>
        <v>武王</v>
      </c>
      <c r="E104" s="1" t="str">
        <f>IFERROR(__xludf.DUMMYFUNCTION("""COMPUTED_VALUE"""),"秃发乌孤")</f>
        <v>秃发乌孤</v>
      </c>
      <c r="F104" s="1" t="str">
        <f>IFERROR(__xludf.DUMMYFUNCTION("""COMPUTED_VALUE"""),"秃发乌孤")</f>
        <v>秃发乌孤</v>
      </c>
      <c r="G104" s="1">
        <f>IFERROR(__xludf.DUMMYFUNCTION("""COMPUTED_VALUE"""),397.0)</f>
        <v>397</v>
      </c>
      <c r="H104" s="1">
        <f>IFERROR(__xludf.DUMMYFUNCTION("""COMPUTED_VALUE"""),1.0)</f>
        <v>1</v>
      </c>
      <c r="I104" s="1" t="str">
        <f>IFERROR(__xludf.DUMMYFUNCTION("""COMPUTED_VALUE"""),"-")</f>
        <v>-</v>
      </c>
      <c r="J104" s="1">
        <f>IFERROR(__xludf.DUMMYFUNCTION("""COMPUTED_VALUE"""),399.0)</f>
        <v>399</v>
      </c>
      <c r="K104" s="1" t="str">
        <f>IFERROR(__xludf.DUMMYFUNCTION("""COMPUTED_VALUE"""),"-")</f>
        <v>-</v>
      </c>
      <c r="L104" s="1" t="str">
        <f>IFERROR(__xludf.DUMMYFUNCTION("""COMPUTED_VALUE"""),"-")</f>
        <v>-</v>
      </c>
      <c r="M104" s="1" t="str">
        <f>IFERROR(__xludf.DUMMYFUNCTION("""COMPUTED_VALUE"""),"约2年")</f>
        <v>约2年</v>
      </c>
      <c r="N104" s="1" t="str">
        <f>IFERROR(__xludf.DUMMYFUNCTION("""COMPUTED_VALUE"""),"自立")</f>
        <v>自立</v>
      </c>
      <c r="O104" s="1" t="str">
        <f>IFERROR(__xludf.DUMMYFUNCTION("""COMPUTED_VALUE"""),"河西鲜卑")</f>
        <v>河西鲜卑</v>
      </c>
    </row>
    <row r="105">
      <c r="A105" s="1" t="str">
        <f>IFERROR(__xludf.DUMMYFUNCTION("SPLIT(CSV!A:A,"","")"),"北凉")</f>
        <v>北凉</v>
      </c>
      <c r="B105" s="1">
        <f>IFERROR(__xludf.DUMMYFUNCTION("""COMPUTED_VALUE"""),1.0)</f>
        <v>1</v>
      </c>
      <c r="C105" s="1" t="str">
        <f>IFERROR(__xludf.DUMMYFUNCTION("""COMPUTED_VALUE"""),"-")</f>
        <v>-</v>
      </c>
      <c r="D105" s="1" t="str">
        <f>IFERROR(__xludf.DUMMYFUNCTION("""COMPUTED_VALUE"""),"-")</f>
        <v>-</v>
      </c>
      <c r="E105" s="1" t="str">
        <f>IFERROR(__xludf.DUMMYFUNCTION("""COMPUTED_VALUE"""),"段业")</f>
        <v>段业</v>
      </c>
      <c r="F105" s="1" t="str">
        <f>IFERROR(__xludf.DUMMYFUNCTION("""COMPUTED_VALUE"""),"段业")</f>
        <v>段业</v>
      </c>
      <c r="G105" s="1">
        <f>IFERROR(__xludf.DUMMYFUNCTION("""COMPUTED_VALUE"""),397.0)</f>
        <v>397</v>
      </c>
      <c r="H105" s="1">
        <f>IFERROR(__xludf.DUMMYFUNCTION("""COMPUTED_VALUE"""),5.0)</f>
        <v>5</v>
      </c>
      <c r="I105" s="1" t="str">
        <f>IFERROR(__xludf.DUMMYFUNCTION("""COMPUTED_VALUE"""),"-")</f>
        <v>-</v>
      </c>
      <c r="J105" s="1">
        <f>IFERROR(__xludf.DUMMYFUNCTION("""COMPUTED_VALUE"""),401.0)</f>
        <v>401</v>
      </c>
      <c r="K105" s="1">
        <f>IFERROR(__xludf.DUMMYFUNCTION("""COMPUTED_VALUE"""),5.0)</f>
        <v>5</v>
      </c>
      <c r="L105" s="1" t="str">
        <f>IFERROR(__xludf.DUMMYFUNCTION("""COMPUTED_VALUE"""),"-")</f>
        <v>-</v>
      </c>
      <c r="M105" s="1" t="str">
        <f>IFERROR(__xludf.DUMMYFUNCTION("""COMPUTED_VALUE"""),"约4年")</f>
        <v>约4年</v>
      </c>
      <c r="N105" s="1" t="str">
        <f>IFERROR(__xludf.DUMMYFUNCTION("""COMPUTED_VALUE"""),"拥立")</f>
        <v>拥立</v>
      </c>
      <c r="O105" s="1" t="str">
        <f>IFERROR(__xludf.DUMMYFUNCTION("""COMPUTED_VALUE"""),"被沮渠男成等拥立")</f>
        <v>被沮渠男成等拥立</v>
      </c>
    </row>
    <row r="106">
      <c r="A106" s="1" t="str">
        <f>IFERROR(__xludf.DUMMYFUNCTION("SPLIT(CSV!A:A,"","")"),"南燕")</f>
        <v>南燕</v>
      </c>
      <c r="B106" s="1">
        <f>IFERROR(__xludf.DUMMYFUNCTION("""COMPUTED_VALUE"""),1.0)</f>
        <v>1</v>
      </c>
      <c r="C106" s="1" t="str">
        <f>IFERROR(__xludf.DUMMYFUNCTION("""COMPUTED_VALUE"""),"世宗")</f>
        <v>世宗</v>
      </c>
      <c r="D106" s="1" t="str">
        <f>IFERROR(__xludf.DUMMYFUNCTION("""COMPUTED_VALUE"""),"献武皇帝")</f>
        <v>献武皇帝</v>
      </c>
      <c r="E106" s="1" t="str">
        <f>IFERROR(__xludf.DUMMYFUNCTION("""COMPUTED_VALUE"""),"慕容德")</f>
        <v>慕容德</v>
      </c>
      <c r="F106" s="1" t="str">
        <f>IFERROR(__xludf.DUMMYFUNCTION("""COMPUTED_VALUE"""),"慕容德")</f>
        <v>慕容德</v>
      </c>
      <c r="G106" s="1">
        <f>IFERROR(__xludf.DUMMYFUNCTION("""COMPUTED_VALUE"""),398.0)</f>
        <v>398</v>
      </c>
      <c r="H106" s="1">
        <f>IFERROR(__xludf.DUMMYFUNCTION("""COMPUTED_VALUE"""),1.0)</f>
        <v>1</v>
      </c>
      <c r="I106" s="1" t="str">
        <f>IFERROR(__xludf.DUMMYFUNCTION("""COMPUTED_VALUE"""),"-")</f>
        <v>-</v>
      </c>
      <c r="J106" s="1">
        <f>IFERROR(__xludf.DUMMYFUNCTION("""COMPUTED_VALUE"""),405.0)</f>
        <v>405</v>
      </c>
      <c r="K106" s="1">
        <f>IFERROR(__xludf.DUMMYFUNCTION("""COMPUTED_VALUE"""),10.0)</f>
        <v>10</v>
      </c>
      <c r="L106" s="1" t="str">
        <f>IFERROR(__xludf.DUMMYFUNCTION("""COMPUTED_VALUE"""),"-")</f>
        <v>-</v>
      </c>
      <c r="M106" s="1" t="str">
        <f>IFERROR(__xludf.DUMMYFUNCTION("""COMPUTED_VALUE"""),"约7年")</f>
        <v>约7年</v>
      </c>
      <c r="N106" s="1" t="str">
        <f>IFERROR(__xludf.DUMMYFUNCTION("""COMPUTED_VALUE"""),"自立")</f>
        <v>自立</v>
      </c>
      <c r="O106" s="1" t="str">
        <f>IFERROR(__xludf.DUMMYFUNCTION("""COMPUTED_VALUE"""),"慕容皝幼子，400年称帝")</f>
        <v>慕容皝幼子，400年称帝</v>
      </c>
    </row>
    <row r="107">
      <c r="A107" s="1" t="str">
        <f>IFERROR(__xludf.DUMMYFUNCTION("SPLIT(CSV!A:A,"","")"),"后燕")</f>
        <v>后燕</v>
      </c>
      <c r="B107" s="1">
        <f>IFERROR(__xludf.DUMMYFUNCTION("""COMPUTED_VALUE"""),3.0)</f>
        <v>3</v>
      </c>
      <c r="C107" s="1" t="str">
        <f>IFERROR(__xludf.DUMMYFUNCTION("""COMPUTED_VALUE"""),"中宗")</f>
        <v>中宗</v>
      </c>
      <c r="D107" s="1" t="str">
        <f>IFERROR(__xludf.DUMMYFUNCTION("""COMPUTED_VALUE"""),"昭武皇帝")</f>
        <v>昭武皇帝</v>
      </c>
      <c r="E107" s="1" t="str">
        <f>IFERROR(__xludf.DUMMYFUNCTION("""COMPUTED_VALUE"""),"慕容盛")</f>
        <v>慕容盛</v>
      </c>
      <c r="F107" s="1" t="str">
        <f>IFERROR(__xludf.DUMMYFUNCTION("""COMPUTED_VALUE"""),"慕容盛")</f>
        <v>慕容盛</v>
      </c>
      <c r="G107" s="1">
        <f>IFERROR(__xludf.DUMMYFUNCTION("""COMPUTED_VALUE"""),398.0)</f>
        <v>398</v>
      </c>
      <c r="H107" s="1">
        <f>IFERROR(__xludf.DUMMYFUNCTION("""COMPUTED_VALUE"""),4.0)</f>
        <v>4</v>
      </c>
      <c r="I107" s="1" t="str">
        <f>IFERROR(__xludf.DUMMYFUNCTION("""COMPUTED_VALUE"""),"-")</f>
        <v>-</v>
      </c>
      <c r="J107" s="1">
        <f>IFERROR(__xludf.DUMMYFUNCTION("""COMPUTED_VALUE"""),401.0)</f>
        <v>401</v>
      </c>
      <c r="K107" s="1">
        <f>IFERROR(__xludf.DUMMYFUNCTION("""COMPUTED_VALUE"""),8.0)</f>
        <v>8</v>
      </c>
      <c r="L107" s="1" t="str">
        <f>IFERROR(__xludf.DUMMYFUNCTION("""COMPUTED_VALUE"""),"-")</f>
        <v>-</v>
      </c>
      <c r="M107" s="1" t="str">
        <f>IFERROR(__xludf.DUMMYFUNCTION("""COMPUTED_VALUE"""),"约3年")</f>
        <v>约3年</v>
      </c>
      <c r="N107" s="1" t="str">
        <f>IFERROR(__xludf.DUMMYFUNCTION("""COMPUTED_VALUE"""),"继承")</f>
        <v>继承</v>
      </c>
      <c r="O107" s="1" t="str">
        <f>IFERROR(__xludf.DUMMYFUNCTION("""COMPUTED_VALUE"""),"慕容宝庶长子")</f>
        <v>慕容宝庶长子</v>
      </c>
    </row>
    <row r="108">
      <c r="A108" s="1" t="str">
        <f>IFERROR(__xludf.DUMMYFUNCTION("SPLIT(CSV!A:A,"","")"),"后凉")</f>
        <v>后凉</v>
      </c>
      <c r="B108" s="1">
        <f>IFERROR(__xludf.DUMMYFUNCTION("""COMPUTED_VALUE"""),2.0)</f>
        <v>2</v>
      </c>
      <c r="C108" s="1" t="str">
        <f>IFERROR(__xludf.DUMMYFUNCTION("""COMPUTED_VALUE"""),"隐王")</f>
        <v>隐王</v>
      </c>
      <c r="D108" s="1" t="str">
        <f>IFERROR(__xludf.DUMMYFUNCTION("""COMPUTED_VALUE"""),"灵帝/隐王")</f>
        <v>灵帝/隐王</v>
      </c>
      <c r="E108" s="1" t="str">
        <f>IFERROR(__xludf.DUMMYFUNCTION("""COMPUTED_VALUE"""),"吕绍")</f>
        <v>吕绍</v>
      </c>
      <c r="F108" s="1" t="str">
        <f>IFERROR(__xludf.DUMMYFUNCTION("""COMPUTED_VALUE"""),"吕绍")</f>
        <v>吕绍</v>
      </c>
      <c r="G108" s="1">
        <f>IFERROR(__xludf.DUMMYFUNCTION("""COMPUTED_VALUE"""),399.0)</f>
        <v>399</v>
      </c>
      <c r="H108" s="1">
        <f>IFERROR(__xludf.DUMMYFUNCTION("""COMPUTED_VALUE"""),12.0)</f>
        <v>12</v>
      </c>
      <c r="I108" s="1" t="str">
        <f>IFERROR(__xludf.DUMMYFUNCTION("""COMPUTED_VALUE"""),"-")</f>
        <v>-</v>
      </c>
      <c r="J108" s="1">
        <f>IFERROR(__xludf.DUMMYFUNCTION("""COMPUTED_VALUE"""),399.0)</f>
        <v>399</v>
      </c>
      <c r="K108" s="1">
        <f>IFERROR(__xludf.DUMMYFUNCTION("""COMPUTED_VALUE"""),12.0)</f>
        <v>12</v>
      </c>
      <c r="L108" s="1" t="str">
        <f>IFERROR(__xludf.DUMMYFUNCTION("""COMPUTED_VALUE"""),"-")</f>
        <v>-</v>
      </c>
      <c r="M108" s="1" t="str">
        <f>IFERROR(__xludf.DUMMYFUNCTION("""COMPUTED_VALUE"""),"约数天")</f>
        <v>约数天</v>
      </c>
      <c r="N108" s="1" t="str">
        <f>IFERROR(__xludf.DUMMYFUNCTION("""COMPUTED_VALUE"""),"继承")</f>
        <v>继承</v>
      </c>
      <c r="O108" s="1" t="str">
        <f>IFERROR(__xludf.DUMMYFUNCTION("""COMPUTED_VALUE"""),"吕光嫡子")</f>
        <v>吕光嫡子</v>
      </c>
    </row>
    <row r="109">
      <c r="A109" s="1" t="str">
        <f>IFERROR(__xludf.DUMMYFUNCTION("SPLIT(CSV!A:A,"","")"),"后凉")</f>
        <v>后凉</v>
      </c>
      <c r="B109" s="1">
        <f>IFERROR(__xludf.DUMMYFUNCTION("""COMPUTED_VALUE"""),3.0)</f>
        <v>3</v>
      </c>
      <c r="C109" s="1" t="str">
        <f>IFERROR(__xludf.DUMMYFUNCTION("""COMPUTED_VALUE"""),"-")</f>
        <v>-</v>
      </c>
      <c r="D109" s="1" t="str">
        <f>IFERROR(__xludf.DUMMYFUNCTION("""COMPUTED_VALUE"""),"-")</f>
        <v>-</v>
      </c>
      <c r="E109" s="1" t="str">
        <f>IFERROR(__xludf.DUMMYFUNCTION("""COMPUTED_VALUE"""),"吕纂")</f>
        <v>吕纂</v>
      </c>
      <c r="F109" s="1" t="str">
        <f>IFERROR(__xludf.DUMMYFUNCTION("""COMPUTED_VALUE"""),"吕纂")</f>
        <v>吕纂</v>
      </c>
      <c r="G109" s="1">
        <f>IFERROR(__xludf.DUMMYFUNCTION("""COMPUTED_VALUE"""),399.0)</f>
        <v>399</v>
      </c>
      <c r="H109" s="1">
        <f>IFERROR(__xludf.DUMMYFUNCTION("""COMPUTED_VALUE"""),12.0)</f>
        <v>12</v>
      </c>
      <c r="I109" s="1" t="str">
        <f>IFERROR(__xludf.DUMMYFUNCTION("""COMPUTED_VALUE"""),"-")</f>
        <v>-</v>
      </c>
      <c r="J109" s="1">
        <f>IFERROR(__xludf.DUMMYFUNCTION("""COMPUTED_VALUE"""),401.0)</f>
        <v>401</v>
      </c>
      <c r="K109" s="1">
        <f>IFERROR(__xludf.DUMMYFUNCTION("""COMPUTED_VALUE"""),2.0)</f>
        <v>2</v>
      </c>
      <c r="L109" s="1" t="str">
        <f>IFERROR(__xludf.DUMMYFUNCTION("""COMPUTED_VALUE"""),"-")</f>
        <v>-</v>
      </c>
      <c r="M109" s="1" t="str">
        <f>IFERROR(__xludf.DUMMYFUNCTION("""COMPUTED_VALUE"""),"约2年")</f>
        <v>约2年</v>
      </c>
      <c r="N109" s="1" t="str">
        <f>IFERROR(__xludf.DUMMYFUNCTION("""COMPUTED_VALUE"""),"政变")</f>
        <v>政变</v>
      </c>
      <c r="O109" s="1" t="str">
        <f>IFERROR(__xludf.DUMMYFUNCTION("""COMPUTED_VALUE"""),"吕光庶长子")</f>
        <v>吕光庶长子</v>
      </c>
    </row>
    <row r="110">
      <c r="A110" s="1" t="str">
        <f>IFERROR(__xludf.DUMMYFUNCTION("SPLIT(CSV!A:A,"","")"),"南凉")</f>
        <v>南凉</v>
      </c>
      <c r="B110" s="1">
        <f>IFERROR(__xludf.DUMMYFUNCTION("""COMPUTED_VALUE"""),2.0)</f>
        <v>2</v>
      </c>
      <c r="C110" s="1" t="str">
        <f>IFERROR(__xludf.DUMMYFUNCTION("""COMPUTED_VALUE"""),"-")</f>
        <v>-</v>
      </c>
      <c r="D110" s="1" t="str">
        <f>IFERROR(__xludf.DUMMYFUNCTION("""COMPUTED_VALUE"""),"康王")</f>
        <v>康王</v>
      </c>
      <c r="E110" s="1" t="str">
        <f>IFERROR(__xludf.DUMMYFUNCTION("""COMPUTED_VALUE"""),"秃发利鹿孤")</f>
        <v>秃发利鹿孤</v>
      </c>
      <c r="F110" s="1" t="str">
        <f>IFERROR(__xludf.DUMMYFUNCTION("""COMPUTED_VALUE"""),"秃发利鹿孤")</f>
        <v>秃发利鹿孤</v>
      </c>
      <c r="G110" s="1">
        <f>IFERROR(__xludf.DUMMYFUNCTION("""COMPUTED_VALUE"""),399.0)</f>
        <v>399</v>
      </c>
      <c r="H110" s="1" t="str">
        <f>IFERROR(__xludf.DUMMYFUNCTION("""COMPUTED_VALUE"""),"-")</f>
        <v>-</v>
      </c>
      <c r="I110" s="1" t="str">
        <f>IFERROR(__xludf.DUMMYFUNCTION("""COMPUTED_VALUE"""),"-")</f>
        <v>-</v>
      </c>
      <c r="J110" s="1">
        <f>IFERROR(__xludf.DUMMYFUNCTION("""COMPUTED_VALUE"""),402.0)</f>
        <v>402</v>
      </c>
      <c r="K110" s="1">
        <f>IFERROR(__xludf.DUMMYFUNCTION("""COMPUTED_VALUE"""),3.0)</f>
        <v>3</v>
      </c>
      <c r="L110" s="1" t="str">
        <f>IFERROR(__xludf.DUMMYFUNCTION("""COMPUTED_VALUE"""),"-")</f>
        <v>-</v>
      </c>
      <c r="M110" s="1" t="str">
        <f>IFERROR(__xludf.DUMMYFUNCTION("""COMPUTED_VALUE"""),"约3年")</f>
        <v>约3年</v>
      </c>
      <c r="N110" s="1" t="str">
        <f>IFERROR(__xludf.DUMMYFUNCTION("""COMPUTED_VALUE"""),"继承")</f>
        <v>继承</v>
      </c>
      <c r="O110" s="1" t="str">
        <f>IFERROR(__xludf.DUMMYFUNCTION("""COMPUTED_VALUE"""),"秃发乌孤之弟")</f>
        <v>秃发乌孤之弟</v>
      </c>
    </row>
    <row r="111">
      <c r="A111" s="1" t="str">
        <f>IFERROR(__xludf.DUMMYFUNCTION("SPLIT(CSV!A:A,"","")"),"西凉")</f>
        <v>西凉</v>
      </c>
      <c r="B111" s="1">
        <f>IFERROR(__xludf.DUMMYFUNCTION("""COMPUTED_VALUE"""),1.0)</f>
        <v>1</v>
      </c>
      <c r="C111" s="1" t="str">
        <f>IFERROR(__xludf.DUMMYFUNCTION("""COMPUTED_VALUE"""),"太祖")</f>
        <v>太祖</v>
      </c>
      <c r="D111" s="1" t="str">
        <f>IFERROR(__xludf.DUMMYFUNCTION("""COMPUTED_VALUE"""),"武昭王")</f>
        <v>武昭王</v>
      </c>
      <c r="E111" s="1" t="str">
        <f>IFERROR(__xludf.DUMMYFUNCTION("""COMPUTED_VALUE"""),"李暠")</f>
        <v>李暠</v>
      </c>
      <c r="F111" s="1" t="str">
        <f>IFERROR(__xludf.DUMMYFUNCTION("""COMPUTED_VALUE"""),"李暠")</f>
        <v>李暠</v>
      </c>
      <c r="G111" s="1">
        <f>IFERROR(__xludf.DUMMYFUNCTION("""COMPUTED_VALUE"""),400.0)</f>
        <v>400</v>
      </c>
      <c r="H111" s="1">
        <f>IFERROR(__xludf.DUMMYFUNCTION("""COMPUTED_VALUE"""),11.0)</f>
        <v>11</v>
      </c>
      <c r="I111" s="1" t="str">
        <f>IFERROR(__xludf.DUMMYFUNCTION("""COMPUTED_VALUE"""),"-")</f>
        <v>-</v>
      </c>
      <c r="J111" s="1">
        <f>IFERROR(__xludf.DUMMYFUNCTION("""COMPUTED_VALUE"""),417.0)</f>
        <v>417</v>
      </c>
      <c r="K111" s="1">
        <f>IFERROR(__xludf.DUMMYFUNCTION("""COMPUTED_VALUE"""),2.0)</f>
        <v>2</v>
      </c>
      <c r="L111" s="1" t="str">
        <f>IFERROR(__xludf.DUMMYFUNCTION("""COMPUTED_VALUE"""),"-")</f>
        <v>-</v>
      </c>
      <c r="M111" s="1" t="str">
        <f>IFERROR(__xludf.DUMMYFUNCTION("""COMPUTED_VALUE"""),"约17年")</f>
        <v>约17年</v>
      </c>
      <c r="N111" s="1" t="str">
        <f>IFERROR(__xludf.DUMMYFUNCTION("""COMPUTED_VALUE"""),"自立")</f>
        <v>自立</v>
      </c>
      <c r="O111" s="1" t="str">
        <f>IFERROR(__xludf.DUMMYFUNCTION("""COMPUTED_VALUE"""),"汉族，李广后裔")</f>
        <v>汉族，李广后裔</v>
      </c>
    </row>
    <row r="112">
      <c r="A112" s="1" t="str">
        <f>IFERROR(__xludf.DUMMYFUNCTION("SPLIT(CSV!A:A,"","")"),"后凉")</f>
        <v>后凉</v>
      </c>
      <c r="B112" s="1">
        <f>IFERROR(__xludf.DUMMYFUNCTION("""COMPUTED_VALUE"""),4.0)</f>
        <v>4</v>
      </c>
      <c r="C112" s="1" t="str">
        <f>IFERROR(__xludf.DUMMYFUNCTION("""COMPUTED_VALUE"""),"-")</f>
        <v>-</v>
      </c>
      <c r="D112" s="1" t="str">
        <f>IFERROR(__xludf.DUMMYFUNCTION("""COMPUTED_VALUE"""),"-")</f>
        <v>-</v>
      </c>
      <c r="E112" s="1" t="str">
        <f>IFERROR(__xludf.DUMMYFUNCTION("""COMPUTED_VALUE"""),"吕隆")</f>
        <v>吕隆</v>
      </c>
      <c r="F112" s="1" t="str">
        <f>IFERROR(__xludf.DUMMYFUNCTION("""COMPUTED_VALUE"""),"吕隆")</f>
        <v>吕隆</v>
      </c>
      <c r="G112" s="1">
        <f>IFERROR(__xludf.DUMMYFUNCTION("""COMPUTED_VALUE"""),401.0)</f>
        <v>401</v>
      </c>
      <c r="H112" s="1">
        <f>IFERROR(__xludf.DUMMYFUNCTION("""COMPUTED_VALUE"""),2.0)</f>
        <v>2</v>
      </c>
      <c r="I112" s="1" t="str">
        <f>IFERROR(__xludf.DUMMYFUNCTION("""COMPUTED_VALUE"""),"-")</f>
        <v>-</v>
      </c>
      <c r="J112" s="1">
        <f>IFERROR(__xludf.DUMMYFUNCTION("""COMPUTED_VALUE"""),403.0)</f>
        <v>403</v>
      </c>
      <c r="K112" s="1">
        <f>IFERROR(__xludf.DUMMYFUNCTION("""COMPUTED_VALUE"""),8.0)</f>
        <v>8</v>
      </c>
      <c r="L112" s="1" t="str">
        <f>IFERROR(__xludf.DUMMYFUNCTION("""COMPUTED_VALUE"""),"-")</f>
        <v>-</v>
      </c>
      <c r="M112" s="1" t="str">
        <f>IFERROR(__xludf.DUMMYFUNCTION("""COMPUTED_VALUE"""),"约2年")</f>
        <v>约2年</v>
      </c>
      <c r="N112" s="1" t="str">
        <f>IFERROR(__xludf.DUMMYFUNCTION("""COMPUTED_VALUE"""),"政变")</f>
        <v>政变</v>
      </c>
      <c r="O112" s="1" t="str">
        <f>IFERROR(__xludf.DUMMYFUNCTION("""COMPUTED_VALUE"""),"吕光之侄，后凉亡")</f>
        <v>吕光之侄，后凉亡</v>
      </c>
    </row>
    <row r="113">
      <c r="A113" s="1" t="str">
        <f>IFERROR(__xludf.DUMMYFUNCTION("SPLIT(CSV!A:A,"","")"),"北凉")</f>
        <v>北凉</v>
      </c>
      <c r="B113" s="1">
        <f>IFERROR(__xludf.DUMMYFUNCTION("""COMPUTED_VALUE"""),2.0)</f>
        <v>2</v>
      </c>
      <c r="C113" s="1" t="str">
        <f>IFERROR(__xludf.DUMMYFUNCTION("""COMPUTED_VALUE"""),"太祖")</f>
        <v>太祖</v>
      </c>
      <c r="D113" s="1" t="str">
        <f>IFERROR(__xludf.DUMMYFUNCTION("""COMPUTED_VALUE"""),"武宣王")</f>
        <v>武宣王</v>
      </c>
      <c r="E113" s="1" t="str">
        <f>IFERROR(__xludf.DUMMYFUNCTION("""COMPUTED_VALUE"""),"沮渠蒙逊")</f>
        <v>沮渠蒙逊</v>
      </c>
      <c r="F113" s="1" t="str">
        <f>IFERROR(__xludf.DUMMYFUNCTION("""COMPUTED_VALUE"""),"沮渠蒙逊")</f>
        <v>沮渠蒙逊</v>
      </c>
      <c r="G113" s="1">
        <f>IFERROR(__xludf.DUMMYFUNCTION("""COMPUTED_VALUE"""),401.0)</f>
        <v>401</v>
      </c>
      <c r="H113" s="1">
        <f>IFERROR(__xludf.DUMMYFUNCTION("""COMPUTED_VALUE"""),5.0)</f>
        <v>5</v>
      </c>
      <c r="I113" s="1" t="str">
        <f>IFERROR(__xludf.DUMMYFUNCTION("""COMPUTED_VALUE"""),"-")</f>
        <v>-</v>
      </c>
      <c r="J113" s="1">
        <f>IFERROR(__xludf.DUMMYFUNCTION("""COMPUTED_VALUE"""),433.0)</f>
        <v>433</v>
      </c>
      <c r="K113" s="1">
        <f>IFERROR(__xludf.DUMMYFUNCTION("""COMPUTED_VALUE"""),4.0)</f>
        <v>4</v>
      </c>
      <c r="L113" s="1" t="str">
        <f>IFERROR(__xludf.DUMMYFUNCTION("""COMPUTED_VALUE"""),"-")</f>
        <v>-</v>
      </c>
      <c r="M113" s="1" t="str">
        <f>IFERROR(__xludf.DUMMYFUNCTION("""COMPUTED_VALUE"""),"约32年")</f>
        <v>约32年</v>
      </c>
      <c r="N113" s="1" t="str">
        <f>IFERROR(__xludf.DUMMYFUNCTION("""COMPUTED_VALUE"""),"政变")</f>
        <v>政变</v>
      </c>
      <c r="O113" s="1" t="str">
        <f>IFERROR(__xludf.DUMMYFUNCTION("""COMPUTED_VALUE"""),"匈奴族，杀段业自立")</f>
        <v>匈奴族，杀段业自立</v>
      </c>
    </row>
    <row r="114">
      <c r="A114" s="1" t="str">
        <f>IFERROR(__xludf.DUMMYFUNCTION("SPLIT(CSV!A:A,"","")"),"后燕")</f>
        <v>后燕</v>
      </c>
      <c r="B114" s="1">
        <f>IFERROR(__xludf.DUMMYFUNCTION("""COMPUTED_VALUE"""),4.0)</f>
        <v>4</v>
      </c>
      <c r="C114" s="1" t="str">
        <f>IFERROR(__xludf.DUMMYFUNCTION("""COMPUTED_VALUE"""),"-")</f>
        <v>-</v>
      </c>
      <c r="D114" s="1" t="str">
        <f>IFERROR(__xludf.DUMMYFUNCTION("""COMPUTED_VALUE"""),"昭文皇帝")</f>
        <v>昭文皇帝</v>
      </c>
      <c r="E114" s="1" t="str">
        <f>IFERROR(__xludf.DUMMYFUNCTION("""COMPUTED_VALUE"""),"慕容熙")</f>
        <v>慕容熙</v>
      </c>
      <c r="F114" s="1" t="str">
        <f>IFERROR(__xludf.DUMMYFUNCTION("""COMPUTED_VALUE"""),"慕容熙")</f>
        <v>慕容熙</v>
      </c>
      <c r="G114" s="1">
        <f>IFERROR(__xludf.DUMMYFUNCTION("""COMPUTED_VALUE"""),401.0)</f>
        <v>401</v>
      </c>
      <c r="H114" s="1">
        <f>IFERROR(__xludf.DUMMYFUNCTION("""COMPUTED_VALUE"""),8.0)</f>
        <v>8</v>
      </c>
      <c r="I114" s="1" t="str">
        <f>IFERROR(__xludf.DUMMYFUNCTION("""COMPUTED_VALUE"""),"-")</f>
        <v>-</v>
      </c>
      <c r="J114" s="1">
        <f>IFERROR(__xludf.DUMMYFUNCTION("""COMPUTED_VALUE"""),407.0)</f>
        <v>407</v>
      </c>
      <c r="K114" s="1">
        <f>IFERROR(__xludf.DUMMYFUNCTION("""COMPUTED_VALUE"""),7.0)</f>
        <v>7</v>
      </c>
      <c r="L114" s="1" t="str">
        <f>IFERROR(__xludf.DUMMYFUNCTION("""COMPUTED_VALUE"""),"-")</f>
        <v>-</v>
      </c>
      <c r="M114" s="1" t="str">
        <f>IFERROR(__xludf.DUMMYFUNCTION("""COMPUTED_VALUE"""),"约6年")</f>
        <v>约6年</v>
      </c>
      <c r="N114" s="1" t="str">
        <f>IFERROR(__xludf.DUMMYFUNCTION("""COMPUTED_VALUE"""),"继承")</f>
        <v>继承</v>
      </c>
      <c r="O114" s="1" t="str">
        <f>IFERROR(__xludf.DUMMYFUNCTION("""COMPUTED_VALUE"""),"慕容垂少子")</f>
        <v>慕容垂少子</v>
      </c>
    </row>
    <row r="115">
      <c r="A115" s="1" t="str">
        <f>IFERROR(__xludf.DUMMYFUNCTION("SPLIT(CSV!A:A,"","")"),"南凉")</f>
        <v>南凉</v>
      </c>
      <c r="B115" s="1">
        <f>IFERROR(__xludf.DUMMYFUNCTION("""COMPUTED_VALUE"""),3.0)</f>
        <v>3</v>
      </c>
      <c r="C115" s="1" t="str">
        <f>IFERROR(__xludf.DUMMYFUNCTION("""COMPUTED_VALUE"""),"-")</f>
        <v>-</v>
      </c>
      <c r="D115" s="1" t="str">
        <f>IFERROR(__xludf.DUMMYFUNCTION("""COMPUTED_VALUE"""),"景王")</f>
        <v>景王</v>
      </c>
      <c r="E115" s="1" t="str">
        <f>IFERROR(__xludf.DUMMYFUNCTION("""COMPUTED_VALUE"""),"秃发傉檀")</f>
        <v>秃发傉檀</v>
      </c>
      <c r="F115" s="1" t="str">
        <f>IFERROR(__xludf.DUMMYFUNCTION("""COMPUTED_VALUE"""),"秃发傉檀")</f>
        <v>秃发傉檀</v>
      </c>
      <c r="G115" s="1">
        <f>IFERROR(__xludf.DUMMYFUNCTION("""COMPUTED_VALUE"""),402.0)</f>
        <v>402</v>
      </c>
      <c r="H115" s="1">
        <f>IFERROR(__xludf.DUMMYFUNCTION("""COMPUTED_VALUE"""),3.0)</f>
        <v>3</v>
      </c>
      <c r="I115" s="1" t="str">
        <f>IFERROR(__xludf.DUMMYFUNCTION("""COMPUTED_VALUE"""),"-")</f>
        <v>-</v>
      </c>
      <c r="J115" s="1">
        <f>IFERROR(__xludf.DUMMYFUNCTION("""COMPUTED_VALUE"""),414.0)</f>
        <v>414</v>
      </c>
      <c r="K115" s="1">
        <f>IFERROR(__xludf.DUMMYFUNCTION("""COMPUTED_VALUE"""),7.0)</f>
        <v>7</v>
      </c>
      <c r="L115" s="1" t="str">
        <f>IFERROR(__xludf.DUMMYFUNCTION("""COMPUTED_VALUE"""),"-")</f>
        <v>-</v>
      </c>
      <c r="M115" s="1" t="str">
        <f>IFERROR(__xludf.DUMMYFUNCTION("""COMPUTED_VALUE"""),"约12年")</f>
        <v>约12年</v>
      </c>
      <c r="N115" s="1" t="str">
        <f>IFERROR(__xludf.DUMMYFUNCTION("""COMPUTED_VALUE"""),"继承")</f>
        <v>继承</v>
      </c>
      <c r="O115" s="1" t="str">
        <f>IFERROR(__xludf.DUMMYFUNCTION("""COMPUTED_VALUE"""),"秃发利鹿孤之弟，南凉亡")</f>
        <v>秃发利鹿孤之弟，南凉亡</v>
      </c>
    </row>
    <row r="116">
      <c r="A116" s="1" t="str">
        <f>IFERROR(__xludf.DUMMYFUNCTION("SPLIT(CSV!A:A,"","")"),"南燕")</f>
        <v>南燕</v>
      </c>
      <c r="B116" s="1">
        <f>IFERROR(__xludf.DUMMYFUNCTION("""COMPUTED_VALUE"""),2.0)</f>
        <v>2</v>
      </c>
      <c r="C116" s="1" t="str">
        <f>IFERROR(__xludf.DUMMYFUNCTION("""COMPUTED_VALUE"""),"-")</f>
        <v>-</v>
      </c>
      <c r="D116" s="1" t="str">
        <f>IFERROR(__xludf.DUMMYFUNCTION("""COMPUTED_VALUE"""),"-")</f>
        <v>-</v>
      </c>
      <c r="E116" s="1" t="str">
        <f>IFERROR(__xludf.DUMMYFUNCTION("""COMPUTED_VALUE"""),"慕容超")</f>
        <v>慕容超</v>
      </c>
      <c r="F116" s="1" t="str">
        <f>IFERROR(__xludf.DUMMYFUNCTION("""COMPUTED_VALUE"""),"慕容超")</f>
        <v>慕容超</v>
      </c>
      <c r="G116" s="1">
        <f>IFERROR(__xludf.DUMMYFUNCTION("""COMPUTED_VALUE"""),405.0)</f>
        <v>405</v>
      </c>
      <c r="H116" s="1">
        <f>IFERROR(__xludf.DUMMYFUNCTION("""COMPUTED_VALUE"""),10.0)</f>
        <v>10</v>
      </c>
      <c r="I116" s="1" t="str">
        <f>IFERROR(__xludf.DUMMYFUNCTION("""COMPUTED_VALUE"""),"-")</f>
        <v>-</v>
      </c>
      <c r="J116" s="1">
        <f>IFERROR(__xludf.DUMMYFUNCTION("""COMPUTED_VALUE"""),410.0)</f>
        <v>410</v>
      </c>
      <c r="K116" s="1">
        <f>IFERROR(__xludf.DUMMYFUNCTION("""COMPUTED_VALUE"""),2.0)</f>
        <v>2</v>
      </c>
      <c r="L116" s="1" t="str">
        <f>IFERROR(__xludf.DUMMYFUNCTION("""COMPUTED_VALUE"""),"-")</f>
        <v>-</v>
      </c>
      <c r="M116" s="1" t="str">
        <f>IFERROR(__xludf.DUMMYFUNCTION("""COMPUTED_VALUE"""),"约5年")</f>
        <v>约5年</v>
      </c>
      <c r="N116" s="1" t="str">
        <f>IFERROR(__xludf.DUMMYFUNCTION("""COMPUTED_VALUE"""),"继承")</f>
        <v>继承</v>
      </c>
      <c r="O116" s="1" t="str">
        <f>IFERROR(__xludf.DUMMYFUNCTION("""COMPUTED_VALUE"""),"慕容德之侄，南燕亡")</f>
        <v>慕容德之侄，南燕亡</v>
      </c>
    </row>
    <row r="117">
      <c r="A117" s="1" t="str">
        <f>IFERROR(__xludf.DUMMYFUNCTION("SPLIT(CSV!A:A,"","")"),"大夏")</f>
        <v>大夏</v>
      </c>
      <c r="B117" s="1">
        <f>IFERROR(__xludf.DUMMYFUNCTION("""COMPUTED_VALUE"""),1.0)</f>
        <v>1</v>
      </c>
      <c r="C117" s="1" t="str">
        <f>IFERROR(__xludf.DUMMYFUNCTION("""COMPUTED_VALUE"""),"世祖")</f>
        <v>世祖</v>
      </c>
      <c r="D117" s="1" t="str">
        <f>IFERROR(__xludf.DUMMYFUNCTION("""COMPUTED_VALUE"""),"武烈皇帝")</f>
        <v>武烈皇帝</v>
      </c>
      <c r="E117" s="1" t="str">
        <f>IFERROR(__xludf.DUMMYFUNCTION("""COMPUTED_VALUE"""),"赫连勃勃")</f>
        <v>赫连勃勃</v>
      </c>
      <c r="F117" s="1" t="str">
        <f>IFERROR(__xludf.DUMMYFUNCTION("""COMPUTED_VALUE"""),"赫连勃勃")</f>
        <v>赫连勃勃</v>
      </c>
      <c r="G117" s="1">
        <f>IFERROR(__xludf.DUMMYFUNCTION("""COMPUTED_VALUE"""),407.0)</f>
        <v>407</v>
      </c>
      <c r="H117" s="1">
        <f>IFERROR(__xludf.DUMMYFUNCTION("""COMPUTED_VALUE"""),6.0)</f>
        <v>6</v>
      </c>
      <c r="I117" s="1" t="str">
        <f>IFERROR(__xludf.DUMMYFUNCTION("""COMPUTED_VALUE"""),"-")</f>
        <v>-</v>
      </c>
      <c r="J117" s="1">
        <f>IFERROR(__xludf.DUMMYFUNCTION("""COMPUTED_VALUE"""),425.0)</f>
        <v>425</v>
      </c>
      <c r="K117" s="1">
        <f>IFERROR(__xludf.DUMMYFUNCTION("""COMPUTED_VALUE"""),8.0)</f>
        <v>8</v>
      </c>
      <c r="L117" s="1" t="str">
        <f>IFERROR(__xludf.DUMMYFUNCTION("""COMPUTED_VALUE"""),"-")</f>
        <v>-</v>
      </c>
      <c r="M117" s="1" t="str">
        <f>IFERROR(__xludf.DUMMYFUNCTION("""COMPUTED_VALUE"""),"约18年")</f>
        <v>约18年</v>
      </c>
      <c r="N117" s="1" t="str">
        <f>IFERROR(__xludf.DUMMYFUNCTION("""COMPUTED_VALUE"""),"自立")</f>
        <v>自立</v>
      </c>
      <c r="O117" s="1" t="str">
        <f>IFERROR(__xludf.DUMMYFUNCTION("""COMPUTED_VALUE"""),"匈奴右贤王去卑之后，匈奴铁弗部，418年称帝")</f>
        <v>匈奴右贤王去卑之后，匈奴铁弗部，418年称帝</v>
      </c>
    </row>
    <row r="118">
      <c r="A118" s="1" t="str">
        <f>IFERROR(__xludf.DUMMYFUNCTION("SPLIT(CSV!A:A,"","")"),"北燕")</f>
        <v>北燕</v>
      </c>
      <c r="B118" s="1">
        <f>IFERROR(__xludf.DUMMYFUNCTION("""COMPUTED_VALUE"""),1.0)</f>
        <v>1</v>
      </c>
      <c r="C118" s="1" t="str">
        <f>IFERROR(__xludf.DUMMYFUNCTION("""COMPUTED_VALUE"""),"-")</f>
        <v>-</v>
      </c>
      <c r="D118" s="1" t="str">
        <f>IFERROR(__xludf.DUMMYFUNCTION("""COMPUTED_VALUE"""),"惠懿皇帝")</f>
        <v>惠懿皇帝</v>
      </c>
      <c r="E118" s="1" t="str">
        <f>IFERROR(__xludf.DUMMYFUNCTION("""COMPUTED_VALUE"""),"高云")</f>
        <v>高云</v>
      </c>
      <c r="F118" s="1" t="str">
        <f>IFERROR(__xludf.DUMMYFUNCTION("""COMPUTED_VALUE"""),"高云")</f>
        <v>高云</v>
      </c>
      <c r="G118" s="1">
        <f>IFERROR(__xludf.DUMMYFUNCTION("""COMPUTED_VALUE"""),407.0)</f>
        <v>407</v>
      </c>
      <c r="H118" s="1">
        <f>IFERROR(__xludf.DUMMYFUNCTION("""COMPUTED_VALUE"""),7.0)</f>
        <v>7</v>
      </c>
      <c r="I118" s="1" t="str">
        <f>IFERROR(__xludf.DUMMYFUNCTION("""COMPUTED_VALUE"""),"-")</f>
        <v>-</v>
      </c>
      <c r="J118" s="1">
        <f>IFERROR(__xludf.DUMMYFUNCTION("""COMPUTED_VALUE"""),409.0)</f>
        <v>409</v>
      </c>
      <c r="K118" s="1">
        <f>IFERROR(__xludf.DUMMYFUNCTION("""COMPUTED_VALUE"""),10.0)</f>
        <v>10</v>
      </c>
      <c r="L118" s="1" t="str">
        <f>IFERROR(__xludf.DUMMYFUNCTION("""COMPUTED_VALUE"""),"-")</f>
        <v>-</v>
      </c>
      <c r="M118" s="1" t="str">
        <f>IFERROR(__xludf.DUMMYFUNCTION("""COMPUTED_VALUE"""),"约2年")</f>
        <v>约2年</v>
      </c>
      <c r="N118" s="1" t="str">
        <f>IFERROR(__xludf.DUMMYFUNCTION("""COMPUTED_VALUE"""),"拥立")</f>
        <v>拥立</v>
      </c>
      <c r="O118" s="1" t="str">
        <f>IFERROR(__xludf.DUMMYFUNCTION("""COMPUTED_VALUE"""),"后燕惠愍帝慕容宝养子，被冯跋拥立")</f>
        <v>后燕惠愍帝慕容宝养子，被冯跋拥立</v>
      </c>
    </row>
    <row r="119">
      <c r="A119" s="1" t="str">
        <f>IFERROR(__xludf.DUMMYFUNCTION("SPLIT(CSV!A:A,"","")"),"北燕")</f>
        <v>北燕</v>
      </c>
      <c r="B119" s="1">
        <f>IFERROR(__xludf.DUMMYFUNCTION("""COMPUTED_VALUE"""),2.0)</f>
        <v>2</v>
      </c>
      <c r="C119" s="1" t="str">
        <f>IFERROR(__xludf.DUMMYFUNCTION("""COMPUTED_VALUE"""),"太祖")</f>
        <v>太祖</v>
      </c>
      <c r="D119" s="1" t="str">
        <f>IFERROR(__xludf.DUMMYFUNCTION("""COMPUTED_VALUE"""),"文成皇帝")</f>
        <v>文成皇帝</v>
      </c>
      <c r="E119" s="1" t="str">
        <f>IFERROR(__xludf.DUMMYFUNCTION("""COMPUTED_VALUE"""),"冯跋")</f>
        <v>冯跋</v>
      </c>
      <c r="F119" s="1" t="str">
        <f>IFERROR(__xludf.DUMMYFUNCTION("""COMPUTED_VALUE"""),"冯跋")</f>
        <v>冯跋</v>
      </c>
      <c r="G119" s="1">
        <f>IFERROR(__xludf.DUMMYFUNCTION("""COMPUTED_VALUE"""),409.0)</f>
        <v>409</v>
      </c>
      <c r="H119" s="1">
        <f>IFERROR(__xludf.DUMMYFUNCTION("""COMPUTED_VALUE"""),10.0)</f>
        <v>10</v>
      </c>
      <c r="I119" s="1" t="str">
        <f>IFERROR(__xludf.DUMMYFUNCTION("""COMPUTED_VALUE"""),"-")</f>
        <v>-</v>
      </c>
      <c r="J119" s="1">
        <f>IFERROR(__xludf.DUMMYFUNCTION("""COMPUTED_VALUE"""),430.0)</f>
        <v>430</v>
      </c>
      <c r="K119" s="1">
        <f>IFERROR(__xludf.DUMMYFUNCTION("""COMPUTED_VALUE"""),9.0)</f>
        <v>9</v>
      </c>
      <c r="L119" s="1" t="str">
        <f>IFERROR(__xludf.DUMMYFUNCTION("""COMPUTED_VALUE"""),"-")</f>
        <v>-</v>
      </c>
      <c r="M119" s="1" t="str">
        <f>IFERROR(__xludf.DUMMYFUNCTION("""COMPUTED_VALUE"""),"约21年")</f>
        <v>约21年</v>
      </c>
      <c r="N119" s="1" t="str">
        <f>IFERROR(__xludf.DUMMYFUNCTION("""COMPUTED_VALUE"""),"政变")</f>
        <v>政变</v>
      </c>
      <c r="O119" s="1" t="str">
        <f>IFERROR(__xludf.DUMMYFUNCTION("""COMPUTED_VALUE"""),"409年平定叛乱后自立")</f>
        <v>409年平定叛乱后自立</v>
      </c>
    </row>
    <row r="120">
      <c r="A120" s="1" t="str">
        <f>IFERROR(__xludf.DUMMYFUNCTION("SPLIT(CSV!A:A,"","")"),"北魏")</f>
        <v>北魏</v>
      </c>
      <c r="B120" s="1">
        <f>IFERROR(__xludf.DUMMYFUNCTION("""COMPUTED_VALUE"""),2.0)</f>
        <v>2</v>
      </c>
      <c r="C120" s="1" t="str">
        <f>IFERROR(__xludf.DUMMYFUNCTION("""COMPUTED_VALUE"""),"太宗")</f>
        <v>太宗</v>
      </c>
      <c r="D120" s="1" t="str">
        <f>IFERROR(__xludf.DUMMYFUNCTION("""COMPUTED_VALUE"""),"明元皇帝")</f>
        <v>明元皇帝</v>
      </c>
      <c r="E120" s="1" t="str">
        <f>IFERROR(__xludf.DUMMYFUNCTION("""COMPUTED_VALUE"""),"魏明元帝")</f>
        <v>魏明元帝</v>
      </c>
      <c r="F120" s="1" t="str">
        <f>IFERROR(__xludf.DUMMYFUNCTION("""COMPUTED_VALUE"""),"拓跋嗣")</f>
        <v>拓跋嗣</v>
      </c>
      <c r="G120" s="1">
        <f>IFERROR(__xludf.DUMMYFUNCTION("""COMPUTED_VALUE"""),409.0)</f>
        <v>409</v>
      </c>
      <c r="H120" s="1">
        <f>IFERROR(__xludf.DUMMYFUNCTION("""COMPUTED_VALUE"""),11.0)</f>
        <v>11</v>
      </c>
      <c r="I120" s="1">
        <f>IFERROR(__xludf.DUMMYFUNCTION("""COMPUTED_VALUE"""),10.0)</f>
        <v>10</v>
      </c>
      <c r="J120" s="1">
        <f>IFERROR(__xludf.DUMMYFUNCTION("""COMPUTED_VALUE"""),423.0)</f>
        <v>423</v>
      </c>
      <c r="K120" s="1">
        <f>IFERROR(__xludf.DUMMYFUNCTION("""COMPUTED_VALUE"""),12.0)</f>
        <v>12</v>
      </c>
      <c r="L120" s="1">
        <f>IFERROR(__xludf.DUMMYFUNCTION("""COMPUTED_VALUE"""),27.0)</f>
        <v>27</v>
      </c>
      <c r="M120" s="1" t="str">
        <f>IFERROR(__xludf.DUMMYFUNCTION("""COMPUTED_VALUE"""),"14年47天")</f>
        <v>14年47天</v>
      </c>
      <c r="N120" s="1" t="str">
        <f>IFERROR(__xludf.DUMMYFUNCTION("""COMPUTED_VALUE"""),"继承")</f>
        <v>继承</v>
      </c>
      <c r="O120" s="1" t="str">
        <f>IFERROR(__xludf.DUMMYFUNCTION("""COMPUTED_VALUE"""),"拓跋珪长子")</f>
        <v>拓跋珪长子</v>
      </c>
    </row>
    <row r="121">
      <c r="A121" s="1" t="str">
        <f>IFERROR(__xludf.DUMMYFUNCTION("SPLIT(CSV!A:A,"","")"),"西秦")</f>
        <v>西秦</v>
      </c>
      <c r="B121" s="1">
        <f>IFERROR(__xludf.DUMMYFUNCTION("""COMPUTED_VALUE"""),3.0)</f>
        <v>3</v>
      </c>
      <c r="C121" s="1" t="str">
        <f>IFERROR(__xludf.DUMMYFUNCTION("""COMPUTED_VALUE"""),"太祖")</f>
        <v>太祖</v>
      </c>
      <c r="D121" s="1" t="str">
        <f>IFERROR(__xludf.DUMMYFUNCTION("""COMPUTED_VALUE"""),"文昭王")</f>
        <v>文昭王</v>
      </c>
      <c r="E121" s="1" t="str">
        <f>IFERROR(__xludf.DUMMYFUNCTION("""COMPUTED_VALUE"""),"乞伏炽磐")</f>
        <v>乞伏炽磐</v>
      </c>
      <c r="F121" s="1" t="str">
        <f>IFERROR(__xludf.DUMMYFUNCTION("""COMPUTED_VALUE"""),"乞伏炽磐")</f>
        <v>乞伏炽磐</v>
      </c>
      <c r="G121" s="1">
        <f>IFERROR(__xludf.DUMMYFUNCTION("""COMPUTED_VALUE"""),412.0)</f>
        <v>412</v>
      </c>
      <c r="H121" s="1">
        <f>IFERROR(__xludf.DUMMYFUNCTION("""COMPUTED_VALUE"""),5.0)</f>
        <v>5</v>
      </c>
      <c r="I121" s="1" t="str">
        <f>IFERROR(__xludf.DUMMYFUNCTION("""COMPUTED_VALUE"""),"-")</f>
        <v>-</v>
      </c>
      <c r="J121" s="1">
        <f>IFERROR(__xludf.DUMMYFUNCTION("""COMPUTED_VALUE"""),428.0)</f>
        <v>428</v>
      </c>
      <c r="K121" s="1">
        <f>IFERROR(__xludf.DUMMYFUNCTION("""COMPUTED_VALUE"""),5.0)</f>
        <v>5</v>
      </c>
      <c r="L121" s="1" t="str">
        <f>IFERROR(__xludf.DUMMYFUNCTION("""COMPUTED_VALUE"""),"-")</f>
        <v>-</v>
      </c>
      <c r="M121" s="1" t="str">
        <f>IFERROR(__xludf.DUMMYFUNCTION("""COMPUTED_VALUE"""),"约16年")</f>
        <v>约16年</v>
      </c>
      <c r="N121" s="1" t="str">
        <f>IFERROR(__xludf.DUMMYFUNCTION("""COMPUTED_VALUE"""),"继承")</f>
        <v>继承</v>
      </c>
      <c r="O121" s="1" t="str">
        <f>IFERROR(__xludf.DUMMYFUNCTION("""COMPUTED_VALUE"""),"乞伏乾归长子")</f>
        <v>乞伏乾归长子</v>
      </c>
    </row>
    <row r="122">
      <c r="A122" s="1" t="str">
        <f>IFERROR(__xludf.DUMMYFUNCTION("SPLIT(CSV!A:A,"","")"),"后秦")</f>
        <v>后秦</v>
      </c>
      <c r="B122" s="1">
        <f>IFERROR(__xludf.DUMMYFUNCTION("""COMPUTED_VALUE"""),3.0)</f>
        <v>3</v>
      </c>
      <c r="C122" s="1" t="str">
        <f>IFERROR(__xludf.DUMMYFUNCTION("""COMPUTED_VALUE"""),"-")</f>
        <v>-</v>
      </c>
      <c r="D122" s="1" t="str">
        <f>IFERROR(__xludf.DUMMYFUNCTION("""COMPUTED_VALUE"""),"-")</f>
        <v>-</v>
      </c>
      <c r="E122" s="1" t="str">
        <f>IFERROR(__xludf.DUMMYFUNCTION("""COMPUTED_VALUE"""),"姚泓")</f>
        <v>姚泓</v>
      </c>
      <c r="F122" s="1" t="str">
        <f>IFERROR(__xludf.DUMMYFUNCTION("""COMPUTED_VALUE"""),"姚泓")</f>
        <v>姚泓</v>
      </c>
      <c r="G122" s="1">
        <f>IFERROR(__xludf.DUMMYFUNCTION("""COMPUTED_VALUE"""),416.0)</f>
        <v>416</v>
      </c>
      <c r="H122" s="1">
        <f>IFERROR(__xludf.DUMMYFUNCTION("""COMPUTED_VALUE"""),2.0)</f>
        <v>2</v>
      </c>
      <c r="I122" s="1" t="str">
        <f>IFERROR(__xludf.DUMMYFUNCTION("""COMPUTED_VALUE"""),"-")</f>
        <v>-</v>
      </c>
      <c r="J122" s="1">
        <f>IFERROR(__xludf.DUMMYFUNCTION("""COMPUTED_VALUE"""),417.0)</f>
        <v>417</v>
      </c>
      <c r="K122" s="1">
        <f>IFERROR(__xludf.DUMMYFUNCTION("""COMPUTED_VALUE"""),8.0)</f>
        <v>8</v>
      </c>
      <c r="L122" s="1" t="str">
        <f>IFERROR(__xludf.DUMMYFUNCTION("""COMPUTED_VALUE"""),"-")</f>
        <v>-</v>
      </c>
      <c r="M122" s="1" t="str">
        <f>IFERROR(__xludf.DUMMYFUNCTION("""COMPUTED_VALUE"""),"约1年")</f>
        <v>约1年</v>
      </c>
      <c r="N122" s="1" t="str">
        <f>IFERROR(__xludf.DUMMYFUNCTION("""COMPUTED_VALUE"""),"继承")</f>
        <v>继承</v>
      </c>
      <c r="O122" s="1" t="str">
        <f>IFERROR(__xludf.DUMMYFUNCTION("""COMPUTED_VALUE"""),"姚兴长子，后秦亡")</f>
        <v>姚兴长子，后秦亡</v>
      </c>
    </row>
    <row r="123">
      <c r="A123" s="1" t="str">
        <f>IFERROR(__xludf.DUMMYFUNCTION("SPLIT(CSV!A:A,"","")"),"西凉")</f>
        <v>西凉</v>
      </c>
      <c r="B123" s="1">
        <f>IFERROR(__xludf.DUMMYFUNCTION("""COMPUTED_VALUE"""),2.0)</f>
        <v>2</v>
      </c>
      <c r="C123" s="1" t="str">
        <f>IFERROR(__xludf.DUMMYFUNCTION("""COMPUTED_VALUE"""),"-")</f>
        <v>-</v>
      </c>
      <c r="D123" s="1" t="str">
        <f>IFERROR(__xludf.DUMMYFUNCTION("""COMPUTED_VALUE"""),"-")</f>
        <v>-</v>
      </c>
      <c r="E123" s="1" t="str">
        <f>IFERROR(__xludf.DUMMYFUNCTION("""COMPUTED_VALUE"""),"李歆")</f>
        <v>李歆</v>
      </c>
      <c r="F123" s="1" t="str">
        <f>IFERROR(__xludf.DUMMYFUNCTION("""COMPUTED_VALUE"""),"李歆")</f>
        <v>李歆</v>
      </c>
      <c r="G123" s="1">
        <f>IFERROR(__xludf.DUMMYFUNCTION("""COMPUTED_VALUE"""),417.0)</f>
        <v>417</v>
      </c>
      <c r="H123" s="1">
        <f>IFERROR(__xludf.DUMMYFUNCTION("""COMPUTED_VALUE"""),2.0)</f>
        <v>2</v>
      </c>
      <c r="I123" s="1" t="str">
        <f>IFERROR(__xludf.DUMMYFUNCTION("""COMPUTED_VALUE"""),"-")</f>
        <v>-</v>
      </c>
      <c r="J123" s="1">
        <f>IFERROR(__xludf.DUMMYFUNCTION("""COMPUTED_VALUE"""),420.0)</f>
        <v>420</v>
      </c>
      <c r="K123" s="1">
        <f>IFERROR(__xludf.DUMMYFUNCTION("""COMPUTED_VALUE"""),7.0)</f>
        <v>7</v>
      </c>
      <c r="L123" s="1" t="str">
        <f>IFERROR(__xludf.DUMMYFUNCTION("""COMPUTED_VALUE"""),"-")</f>
        <v>-</v>
      </c>
      <c r="M123" s="1" t="str">
        <f>IFERROR(__xludf.DUMMYFUNCTION("""COMPUTED_VALUE"""),"约3年")</f>
        <v>约3年</v>
      </c>
      <c r="N123" s="1" t="str">
        <f>IFERROR(__xludf.DUMMYFUNCTION("""COMPUTED_VALUE"""),"继承")</f>
        <v>继承</v>
      </c>
      <c r="O123" s="1" t="str">
        <f>IFERROR(__xludf.DUMMYFUNCTION("""COMPUTED_VALUE"""),"李暠第二子")</f>
        <v>李暠第二子</v>
      </c>
    </row>
    <row r="124">
      <c r="A124" s="1" t="str">
        <f>IFERROR(__xludf.DUMMYFUNCTION("SPLIT(CSV!A:A,"","")"),"东晋")</f>
        <v>东晋</v>
      </c>
      <c r="B124" s="1">
        <f>IFERROR(__xludf.DUMMYFUNCTION("""COMPUTED_VALUE"""),11.0)</f>
        <v>11</v>
      </c>
      <c r="C124" s="1" t="str">
        <f>IFERROR(__xludf.DUMMYFUNCTION("""COMPUTED_VALUE"""),"-")</f>
        <v>-</v>
      </c>
      <c r="D124" s="1" t="str">
        <f>IFERROR(__xludf.DUMMYFUNCTION("""COMPUTED_VALUE"""),"恭皇帝")</f>
        <v>恭皇帝</v>
      </c>
      <c r="E124" s="1" t="str">
        <f>IFERROR(__xludf.DUMMYFUNCTION("""COMPUTED_VALUE"""),"晋恭帝")</f>
        <v>晋恭帝</v>
      </c>
      <c r="F124" s="1" t="str">
        <f>IFERROR(__xludf.DUMMYFUNCTION("""COMPUTED_VALUE"""),"司马德文")</f>
        <v>司马德文</v>
      </c>
      <c r="G124" s="1">
        <f>IFERROR(__xludf.DUMMYFUNCTION("""COMPUTED_VALUE"""),419.0)</f>
        <v>419</v>
      </c>
      <c r="H124" s="1">
        <f>IFERROR(__xludf.DUMMYFUNCTION("""COMPUTED_VALUE"""),1.0)</f>
        <v>1</v>
      </c>
      <c r="I124" s="1">
        <f>IFERROR(__xludf.DUMMYFUNCTION("""COMPUTED_VALUE"""),28.0)</f>
        <v>28</v>
      </c>
      <c r="J124" s="1">
        <f>IFERROR(__xludf.DUMMYFUNCTION("""COMPUTED_VALUE"""),420.0)</f>
        <v>420</v>
      </c>
      <c r="K124" s="1">
        <f>IFERROR(__xludf.DUMMYFUNCTION("""COMPUTED_VALUE"""),7.0)</f>
        <v>7</v>
      </c>
      <c r="L124" s="1">
        <f>IFERROR(__xludf.DUMMYFUNCTION("""COMPUTED_VALUE"""),7.0)</f>
        <v>7</v>
      </c>
      <c r="M124" s="1" t="str">
        <f>IFERROR(__xludf.DUMMYFUNCTION("""COMPUTED_VALUE"""),"1年160天")</f>
        <v>1年160天</v>
      </c>
      <c r="N124" s="1" t="str">
        <f>IFERROR(__xludf.DUMMYFUNCTION("""COMPUTED_VALUE"""),"继承")</f>
        <v>继承</v>
      </c>
      <c r="O124" s="1" t="str">
        <f>IFERROR(__xludf.DUMMYFUNCTION("""COMPUTED_VALUE"""),"禅位于刘裕，东晋灭亡")</f>
        <v>禅位于刘裕，东晋灭亡</v>
      </c>
    </row>
    <row r="125">
      <c r="A125" s="1" t="str">
        <f>IFERROR(__xludf.DUMMYFUNCTION("SPLIT(CSV!A:A,"","")"),"刘宋")</f>
        <v>刘宋</v>
      </c>
      <c r="B125" s="1">
        <f>IFERROR(__xludf.DUMMYFUNCTION("""COMPUTED_VALUE"""),1.0)</f>
        <v>1</v>
      </c>
      <c r="C125" s="1" t="str">
        <f>IFERROR(__xludf.DUMMYFUNCTION("""COMPUTED_VALUE"""),"高祖")</f>
        <v>高祖</v>
      </c>
      <c r="D125" s="1" t="str">
        <f>IFERROR(__xludf.DUMMYFUNCTION("""COMPUTED_VALUE"""),"武皇帝")</f>
        <v>武皇帝</v>
      </c>
      <c r="E125" s="1" t="str">
        <f>IFERROR(__xludf.DUMMYFUNCTION("""COMPUTED_VALUE"""),"宋武帝")</f>
        <v>宋武帝</v>
      </c>
      <c r="F125" s="1" t="str">
        <f>IFERROR(__xludf.DUMMYFUNCTION("""COMPUTED_VALUE"""),"刘裕")</f>
        <v>刘裕</v>
      </c>
      <c r="G125" s="1">
        <f>IFERROR(__xludf.DUMMYFUNCTION("""COMPUTED_VALUE"""),420.0)</f>
        <v>420</v>
      </c>
      <c r="H125" s="1">
        <f>IFERROR(__xludf.DUMMYFUNCTION("""COMPUTED_VALUE"""),7.0)</f>
        <v>7</v>
      </c>
      <c r="I125" s="1">
        <f>IFERROR(__xludf.DUMMYFUNCTION("""COMPUTED_VALUE"""),10.0)</f>
        <v>10</v>
      </c>
      <c r="J125" s="1">
        <f>IFERROR(__xludf.DUMMYFUNCTION("""COMPUTED_VALUE"""),422.0)</f>
        <v>422</v>
      </c>
      <c r="K125" s="1">
        <f>IFERROR(__xludf.DUMMYFUNCTION("""COMPUTED_VALUE"""),6.0)</f>
        <v>6</v>
      </c>
      <c r="L125" s="1">
        <f>IFERROR(__xludf.DUMMYFUNCTION("""COMPUTED_VALUE"""),26.0)</f>
        <v>26</v>
      </c>
      <c r="M125" s="1" t="str">
        <f>IFERROR(__xludf.DUMMYFUNCTION("""COMPUTED_VALUE"""),"1年351天")</f>
        <v>1年351天</v>
      </c>
      <c r="N125" s="1" t="str">
        <f>IFERROR(__xludf.DUMMYFUNCTION("""COMPUTED_VALUE"""),"受禅")</f>
        <v>受禅</v>
      </c>
      <c r="O125" s="1" t="str">
        <f>IFERROR(__xludf.DUMMYFUNCTION("""COMPUTED_VALUE"""),"受晋恭帝禅让")</f>
        <v>受晋恭帝禅让</v>
      </c>
    </row>
    <row r="126">
      <c r="A126" s="1" t="str">
        <f>IFERROR(__xludf.DUMMYFUNCTION("SPLIT(CSV!A:A,"","")"),"西凉")</f>
        <v>西凉</v>
      </c>
      <c r="B126" s="1">
        <f>IFERROR(__xludf.DUMMYFUNCTION("""COMPUTED_VALUE"""),3.0)</f>
        <v>3</v>
      </c>
      <c r="C126" s="1" t="str">
        <f>IFERROR(__xludf.DUMMYFUNCTION("""COMPUTED_VALUE"""),"-")</f>
        <v>-</v>
      </c>
      <c r="D126" s="1" t="str">
        <f>IFERROR(__xludf.DUMMYFUNCTION("""COMPUTED_VALUE"""),"-")</f>
        <v>-</v>
      </c>
      <c r="E126" s="1" t="str">
        <f>IFERROR(__xludf.DUMMYFUNCTION("""COMPUTED_VALUE"""),"李恂")</f>
        <v>李恂</v>
      </c>
      <c r="F126" s="1" t="str">
        <f>IFERROR(__xludf.DUMMYFUNCTION("""COMPUTED_VALUE"""),"李恂")</f>
        <v>李恂</v>
      </c>
      <c r="G126" s="1">
        <f>IFERROR(__xludf.DUMMYFUNCTION("""COMPUTED_VALUE"""),420.0)</f>
        <v>420</v>
      </c>
      <c r="H126" s="1">
        <f>IFERROR(__xludf.DUMMYFUNCTION("""COMPUTED_VALUE"""),7.0)</f>
        <v>7</v>
      </c>
      <c r="I126" s="1" t="str">
        <f>IFERROR(__xludf.DUMMYFUNCTION("""COMPUTED_VALUE"""),"-")</f>
        <v>-</v>
      </c>
      <c r="J126" s="1">
        <f>IFERROR(__xludf.DUMMYFUNCTION("""COMPUTED_VALUE"""),421.0)</f>
        <v>421</v>
      </c>
      <c r="K126" s="1">
        <f>IFERROR(__xludf.DUMMYFUNCTION("""COMPUTED_VALUE"""),3.0)</f>
        <v>3</v>
      </c>
      <c r="L126" s="1" t="str">
        <f>IFERROR(__xludf.DUMMYFUNCTION("""COMPUTED_VALUE"""),"-")</f>
        <v>-</v>
      </c>
      <c r="M126" s="1" t="str">
        <f>IFERROR(__xludf.DUMMYFUNCTION("""COMPUTED_VALUE"""),"约1年")</f>
        <v>约1年</v>
      </c>
      <c r="N126" s="1" t="str">
        <f>IFERROR(__xludf.DUMMYFUNCTION("""COMPUTED_VALUE"""),"继承")</f>
        <v>继承</v>
      </c>
      <c r="O126" s="1" t="str">
        <f>IFERROR(__xludf.DUMMYFUNCTION("""COMPUTED_VALUE"""),"李暠第六子，西凉亡")</f>
        <v>李暠第六子，西凉亡</v>
      </c>
    </row>
    <row r="127">
      <c r="A127" s="1" t="str">
        <f>IFERROR(__xludf.DUMMYFUNCTION("SPLIT(CSV!A:A,"","")"),"刘宋")</f>
        <v>刘宋</v>
      </c>
      <c r="B127" s="1">
        <f>IFERROR(__xludf.DUMMYFUNCTION("""COMPUTED_VALUE"""),2.0)</f>
        <v>2</v>
      </c>
      <c r="C127" s="1" t="str">
        <f>IFERROR(__xludf.DUMMYFUNCTION("""COMPUTED_VALUE"""),"-")</f>
        <v>-</v>
      </c>
      <c r="D127" s="1" t="str">
        <f>IFERROR(__xludf.DUMMYFUNCTION("""COMPUTED_VALUE"""),"少皇帝")</f>
        <v>少皇帝</v>
      </c>
      <c r="E127" s="1" t="str">
        <f>IFERROR(__xludf.DUMMYFUNCTION("""COMPUTED_VALUE"""),"宋少帝")</f>
        <v>宋少帝</v>
      </c>
      <c r="F127" s="1" t="str">
        <f>IFERROR(__xludf.DUMMYFUNCTION("""COMPUTED_VALUE"""),"刘义符")</f>
        <v>刘义符</v>
      </c>
      <c r="G127" s="1">
        <f>IFERROR(__xludf.DUMMYFUNCTION("""COMPUTED_VALUE"""),422.0)</f>
        <v>422</v>
      </c>
      <c r="H127" s="1">
        <f>IFERROR(__xludf.DUMMYFUNCTION("""COMPUTED_VALUE"""),6.0)</f>
        <v>6</v>
      </c>
      <c r="I127" s="1">
        <f>IFERROR(__xludf.DUMMYFUNCTION("""COMPUTED_VALUE"""),26.0)</f>
        <v>26</v>
      </c>
      <c r="J127" s="1">
        <f>IFERROR(__xludf.DUMMYFUNCTION("""COMPUTED_VALUE"""),424.0)</f>
        <v>424</v>
      </c>
      <c r="K127" s="1">
        <f>IFERROR(__xludf.DUMMYFUNCTION("""COMPUTED_VALUE"""),8.0)</f>
        <v>8</v>
      </c>
      <c r="L127" s="1">
        <f>IFERROR(__xludf.DUMMYFUNCTION("""COMPUTED_VALUE"""),4.0)</f>
        <v>4</v>
      </c>
      <c r="M127" s="1" t="str">
        <f>IFERROR(__xludf.DUMMYFUNCTION("""COMPUTED_VALUE"""),"2年39天")</f>
        <v>2年39天</v>
      </c>
      <c r="N127" s="1" t="str">
        <f>IFERROR(__xludf.DUMMYFUNCTION("""COMPUTED_VALUE"""),"继承")</f>
        <v>继承</v>
      </c>
      <c r="O127" s="1" t="str">
        <f>IFERROR(__xludf.DUMMYFUNCTION("""COMPUTED_VALUE"""),"被废杀")</f>
        <v>被废杀</v>
      </c>
    </row>
    <row r="128">
      <c r="A128" s="1" t="str">
        <f>IFERROR(__xludf.DUMMYFUNCTION("SPLIT(CSV!A:A,"","")"),"北魏")</f>
        <v>北魏</v>
      </c>
      <c r="B128" s="1">
        <f>IFERROR(__xludf.DUMMYFUNCTION("""COMPUTED_VALUE"""),3.0)</f>
        <v>3</v>
      </c>
      <c r="C128" s="1" t="str">
        <f>IFERROR(__xludf.DUMMYFUNCTION("""COMPUTED_VALUE"""),"世祖")</f>
        <v>世祖</v>
      </c>
      <c r="D128" s="1" t="str">
        <f>IFERROR(__xludf.DUMMYFUNCTION("""COMPUTED_VALUE"""),"太武皇帝")</f>
        <v>太武皇帝</v>
      </c>
      <c r="E128" s="1" t="str">
        <f>IFERROR(__xludf.DUMMYFUNCTION("""COMPUTED_VALUE"""),"魏太武帝")</f>
        <v>魏太武帝</v>
      </c>
      <c r="F128" s="1" t="str">
        <f>IFERROR(__xludf.DUMMYFUNCTION("""COMPUTED_VALUE"""),"拓跋焘")</f>
        <v>拓跋焘</v>
      </c>
      <c r="G128" s="1">
        <f>IFERROR(__xludf.DUMMYFUNCTION("""COMPUTED_VALUE"""),423.0)</f>
        <v>423</v>
      </c>
      <c r="H128" s="1">
        <f>IFERROR(__xludf.DUMMYFUNCTION("""COMPUTED_VALUE"""),12.0)</f>
        <v>12</v>
      </c>
      <c r="I128" s="1">
        <f>IFERROR(__xludf.DUMMYFUNCTION("""COMPUTED_VALUE"""),27.0)</f>
        <v>27</v>
      </c>
      <c r="J128" s="1">
        <f>IFERROR(__xludf.DUMMYFUNCTION("""COMPUTED_VALUE"""),452.0)</f>
        <v>452</v>
      </c>
      <c r="K128" s="1">
        <f>IFERROR(__xludf.DUMMYFUNCTION("""COMPUTED_VALUE"""),3.0)</f>
        <v>3</v>
      </c>
      <c r="L128" s="1">
        <f>IFERROR(__xludf.DUMMYFUNCTION("""COMPUTED_VALUE"""),11.0)</f>
        <v>11</v>
      </c>
      <c r="M128" s="1" t="str">
        <f>IFERROR(__xludf.DUMMYFUNCTION("""COMPUTED_VALUE"""),"29年74天")</f>
        <v>29年74天</v>
      </c>
      <c r="N128" s="1" t="str">
        <f>IFERROR(__xludf.DUMMYFUNCTION("""COMPUTED_VALUE"""),"继承")</f>
        <v>继承</v>
      </c>
      <c r="O128" s="1" t="str">
        <f>IFERROR(__xludf.DUMMYFUNCTION("""COMPUTED_VALUE"""),"拓跋嗣长子")</f>
        <v>拓跋嗣长子</v>
      </c>
    </row>
    <row r="129">
      <c r="A129" s="1" t="str">
        <f>IFERROR(__xludf.DUMMYFUNCTION("SPLIT(CSV!A:A,"","")"),"刘宋")</f>
        <v>刘宋</v>
      </c>
      <c r="B129" s="1">
        <f>IFERROR(__xludf.DUMMYFUNCTION("""COMPUTED_VALUE"""),3.0)</f>
        <v>3</v>
      </c>
      <c r="C129" s="1" t="str">
        <f>IFERROR(__xludf.DUMMYFUNCTION("""COMPUTED_VALUE"""),"太祖")</f>
        <v>太祖</v>
      </c>
      <c r="D129" s="1" t="str">
        <f>IFERROR(__xludf.DUMMYFUNCTION("""COMPUTED_VALUE"""),"文皇帝")</f>
        <v>文皇帝</v>
      </c>
      <c r="E129" s="1" t="str">
        <f>IFERROR(__xludf.DUMMYFUNCTION("""COMPUTED_VALUE"""),"宋文帝")</f>
        <v>宋文帝</v>
      </c>
      <c r="F129" s="1" t="str">
        <f>IFERROR(__xludf.DUMMYFUNCTION("""COMPUTED_VALUE"""),"刘义隆")</f>
        <v>刘义隆</v>
      </c>
      <c r="G129" s="1">
        <f>IFERROR(__xludf.DUMMYFUNCTION("""COMPUTED_VALUE"""),424.0)</f>
        <v>424</v>
      </c>
      <c r="H129" s="1">
        <f>IFERROR(__xludf.DUMMYFUNCTION("""COMPUTED_VALUE"""),8.0)</f>
        <v>8</v>
      </c>
      <c r="I129" s="1">
        <f>IFERROR(__xludf.DUMMYFUNCTION("""COMPUTED_VALUE"""),4.0)</f>
        <v>4</v>
      </c>
      <c r="J129" s="1">
        <f>IFERROR(__xludf.DUMMYFUNCTION("""COMPUTED_VALUE"""),453.0)</f>
        <v>453</v>
      </c>
      <c r="K129" s="1">
        <f>IFERROR(__xludf.DUMMYFUNCTION("""COMPUTED_VALUE"""),3.0)</f>
        <v>3</v>
      </c>
      <c r="L129" s="1">
        <f>IFERROR(__xludf.DUMMYFUNCTION("""COMPUTED_VALUE"""),16.0)</f>
        <v>16</v>
      </c>
      <c r="M129" s="1" t="str">
        <f>IFERROR(__xludf.DUMMYFUNCTION("""COMPUTED_VALUE"""),"28年224天")</f>
        <v>28年224天</v>
      </c>
      <c r="N129" s="1" t="str">
        <f>IFERROR(__xludf.DUMMYFUNCTION("""COMPUTED_VALUE"""),"政变")</f>
        <v>政变</v>
      </c>
      <c r="O129" s="1" t="str">
        <f>IFERROR(__xludf.DUMMYFUNCTION("""COMPUTED_VALUE"""),"被太子刘劭弑杀")</f>
        <v>被太子刘劭弑杀</v>
      </c>
    </row>
    <row r="130">
      <c r="A130" s="1" t="str">
        <f>IFERROR(__xludf.DUMMYFUNCTION("SPLIT(CSV!A:A,"","")"),"大夏")</f>
        <v>大夏</v>
      </c>
      <c r="B130" s="1">
        <f>IFERROR(__xludf.DUMMYFUNCTION("""COMPUTED_VALUE"""),2.0)</f>
        <v>2</v>
      </c>
      <c r="C130" s="1" t="str">
        <f>IFERROR(__xludf.DUMMYFUNCTION("""COMPUTED_VALUE"""),"-")</f>
        <v>-</v>
      </c>
      <c r="D130" s="1" t="str">
        <f>IFERROR(__xludf.DUMMYFUNCTION("""COMPUTED_VALUE"""),"-")</f>
        <v>-</v>
      </c>
      <c r="E130" s="1" t="str">
        <f>IFERROR(__xludf.DUMMYFUNCTION("""COMPUTED_VALUE"""),"赫连昌")</f>
        <v>赫连昌</v>
      </c>
      <c r="F130" s="1" t="str">
        <f>IFERROR(__xludf.DUMMYFUNCTION("""COMPUTED_VALUE"""),"赫连昌")</f>
        <v>赫连昌</v>
      </c>
      <c r="G130" s="1">
        <f>IFERROR(__xludf.DUMMYFUNCTION("""COMPUTED_VALUE"""),425.0)</f>
        <v>425</v>
      </c>
      <c r="H130" s="1">
        <f>IFERROR(__xludf.DUMMYFUNCTION("""COMPUTED_VALUE"""),8.0)</f>
        <v>8</v>
      </c>
      <c r="I130" s="1" t="str">
        <f>IFERROR(__xludf.DUMMYFUNCTION("""COMPUTED_VALUE"""),"-")</f>
        <v>-</v>
      </c>
      <c r="J130" s="1">
        <f>IFERROR(__xludf.DUMMYFUNCTION("""COMPUTED_VALUE"""),428.0)</f>
        <v>428</v>
      </c>
      <c r="K130" s="1">
        <f>IFERROR(__xludf.DUMMYFUNCTION("""COMPUTED_VALUE"""),2.0)</f>
        <v>2</v>
      </c>
      <c r="L130" s="1" t="str">
        <f>IFERROR(__xludf.DUMMYFUNCTION("""COMPUTED_VALUE"""),"-")</f>
        <v>-</v>
      </c>
      <c r="M130" s="1" t="str">
        <f>IFERROR(__xludf.DUMMYFUNCTION("""COMPUTED_VALUE"""),"约3年")</f>
        <v>约3年</v>
      </c>
      <c r="N130" s="1" t="str">
        <f>IFERROR(__xludf.DUMMYFUNCTION("""COMPUTED_VALUE"""),"继承")</f>
        <v>继承</v>
      </c>
      <c r="O130" s="1" t="str">
        <f>IFERROR(__xludf.DUMMYFUNCTION("""COMPUTED_VALUE"""),"赫连勃勃第三子")</f>
        <v>赫连勃勃第三子</v>
      </c>
    </row>
    <row r="131">
      <c r="A131" s="1" t="str">
        <f>IFERROR(__xludf.DUMMYFUNCTION("SPLIT(CSV!A:A,"","")"),"大夏")</f>
        <v>大夏</v>
      </c>
      <c r="B131" s="1">
        <f>IFERROR(__xludf.DUMMYFUNCTION("""COMPUTED_VALUE"""),3.0)</f>
        <v>3</v>
      </c>
      <c r="C131" s="1" t="str">
        <f>IFERROR(__xludf.DUMMYFUNCTION("""COMPUTED_VALUE"""),"-")</f>
        <v>-</v>
      </c>
      <c r="D131" s="1" t="str">
        <f>IFERROR(__xludf.DUMMYFUNCTION("""COMPUTED_VALUE"""),"-")</f>
        <v>-</v>
      </c>
      <c r="E131" s="1" t="str">
        <f>IFERROR(__xludf.DUMMYFUNCTION("""COMPUTED_VALUE"""),"赫连定")</f>
        <v>赫连定</v>
      </c>
      <c r="F131" s="1" t="str">
        <f>IFERROR(__xludf.DUMMYFUNCTION("""COMPUTED_VALUE"""),"赫连定")</f>
        <v>赫连定</v>
      </c>
      <c r="G131" s="1">
        <f>IFERROR(__xludf.DUMMYFUNCTION("""COMPUTED_VALUE"""),428.0)</f>
        <v>428</v>
      </c>
      <c r="H131" s="1">
        <f>IFERROR(__xludf.DUMMYFUNCTION("""COMPUTED_VALUE"""),2.0)</f>
        <v>2</v>
      </c>
      <c r="I131" s="1" t="str">
        <f>IFERROR(__xludf.DUMMYFUNCTION("""COMPUTED_VALUE"""),"-")</f>
        <v>-</v>
      </c>
      <c r="J131" s="1">
        <f>IFERROR(__xludf.DUMMYFUNCTION("""COMPUTED_VALUE"""),431.0)</f>
        <v>431</v>
      </c>
      <c r="K131" s="1">
        <f>IFERROR(__xludf.DUMMYFUNCTION("""COMPUTED_VALUE"""),6.0)</f>
        <v>6</v>
      </c>
      <c r="L131" s="1" t="str">
        <f>IFERROR(__xludf.DUMMYFUNCTION("""COMPUTED_VALUE"""),"-")</f>
        <v>-</v>
      </c>
      <c r="M131" s="1" t="str">
        <f>IFERROR(__xludf.DUMMYFUNCTION("""COMPUTED_VALUE"""),"约3年")</f>
        <v>约3年</v>
      </c>
      <c r="N131" s="1" t="str">
        <f>IFERROR(__xludf.DUMMYFUNCTION("""COMPUTED_VALUE"""),"继承")</f>
        <v>继承</v>
      </c>
      <c r="O131" s="1" t="str">
        <f>IFERROR(__xludf.DUMMYFUNCTION("""COMPUTED_VALUE"""),"赫连勃勃第五子，大夏亡")</f>
        <v>赫连勃勃第五子，大夏亡</v>
      </c>
    </row>
    <row r="132">
      <c r="A132" s="1" t="str">
        <f>IFERROR(__xludf.DUMMYFUNCTION("SPLIT(CSV!A:A,"","")"),"西秦")</f>
        <v>西秦</v>
      </c>
      <c r="B132" s="1">
        <f>IFERROR(__xludf.DUMMYFUNCTION("""COMPUTED_VALUE"""),4.0)</f>
        <v>4</v>
      </c>
      <c r="C132" s="1" t="str">
        <f>IFERROR(__xludf.DUMMYFUNCTION("""COMPUTED_VALUE"""),"-")</f>
        <v>-</v>
      </c>
      <c r="D132" s="1" t="str">
        <f>IFERROR(__xludf.DUMMYFUNCTION("""COMPUTED_VALUE"""),"-")</f>
        <v>-</v>
      </c>
      <c r="E132" s="1" t="str">
        <f>IFERROR(__xludf.DUMMYFUNCTION("""COMPUTED_VALUE"""),"乞伏暮末")</f>
        <v>乞伏暮末</v>
      </c>
      <c r="F132" s="1" t="str">
        <f>IFERROR(__xludf.DUMMYFUNCTION("""COMPUTED_VALUE"""),"乞伏暮末")</f>
        <v>乞伏暮末</v>
      </c>
      <c r="G132" s="1">
        <f>IFERROR(__xludf.DUMMYFUNCTION("""COMPUTED_VALUE"""),428.0)</f>
        <v>428</v>
      </c>
      <c r="H132" s="1">
        <f>IFERROR(__xludf.DUMMYFUNCTION("""COMPUTED_VALUE"""),5.0)</f>
        <v>5</v>
      </c>
      <c r="I132" s="1" t="str">
        <f>IFERROR(__xludf.DUMMYFUNCTION("""COMPUTED_VALUE"""),"-")</f>
        <v>-</v>
      </c>
      <c r="J132" s="1">
        <f>IFERROR(__xludf.DUMMYFUNCTION("""COMPUTED_VALUE"""),431.0)</f>
        <v>431</v>
      </c>
      <c r="K132" s="1">
        <f>IFERROR(__xludf.DUMMYFUNCTION("""COMPUTED_VALUE"""),1.0)</f>
        <v>1</v>
      </c>
      <c r="L132" s="1" t="str">
        <f>IFERROR(__xludf.DUMMYFUNCTION("""COMPUTED_VALUE"""),"-")</f>
        <v>-</v>
      </c>
      <c r="M132" s="1" t="str">
        <f>IFERROR(__xludf.DUMMYFUNCTION("""COMPUTED_VALUE"""),"约3年")</f>
        <v>约3年</v>
      </c>
      <c r="N132" s="1" t="str">
        <f>IFERROR(__xludf.DUMMYFUNCTION("""COMPUTED_VALUE"""),"继承")</f>
        <v>继承</v>
      </c>
      <c r="O132" s="1" t="str">
        <f>IFERROR(__xludf.DUMMYFUNCTION("""COMPUTED_VALUE"""),"乞伏炽磐次子，西秦亡")</f>
        <v>乞伏炽磐次子，西秦亡</v>
      </c>
    </row>
    <row r="133">
      <c r="A133" s="1" t="str">
        <f>IFERROR(__xludf.DUMMYFUNCTION("SPLIT(CSV!A:A,"","")"),"北燕")</f>
        <v>北燕</v>
      </c>
      <c r="B133" s="1">
        <f>IFERROR(__xludf.DUMMYFUNCTION("""COMPUTED_VALUE"""),3.0)</f>
        <v>3</v>
      </c>
      <c r="C133" s="1" t="str">
        <f>IFERROR(__xludf.DUMMYFUNCTION("""COMPUTED_VALUE"""),"-")</f>
        <v>-</v>
      </c>
      <c r="D133" s="1" t="str">
        <f>IFERROR(__xludf.DUMMYFUNCTION("""COMPUTED_VALUE"""),"昭成皇帝")</f>
        <v>昭成皇帝</v>
      </c>
      <c r="E133" s="1" t="str">
        <f>IFERROR(__xludf.DUMMYFUNCTION("""COMPUTED_VALUE"""),"冯弘")</f>
        <v>冯弘</v>
      </c>
      <c r="F133" s="1" t="str">
        <f>IFERROR(__xludf.DUMMYFUNCTION("""COMPUTED_VALUE"""),"冯弘")</f>
        <v>冯弘</v>
      </c>
      <c r="G133" s="1">
        <f>IFERROR(__xludf.DUMMYFUNCTION("""COMPUTED_VALUE"""),430.0)</f>
        <v>430</v>
      </c>
      <c r="H133" s="1">
        <f>IFERROR(__xludf.DUMMYFUNCTION("""COMPUTED_VALUE"""),9.0)</f>
        <v>9</v>
      </c>
      <c r="I133" s="1" t="str">
        <f>IFERROR(__xludf.DUMMYFUNCTION("""COMPUTED_VALUE"""),"-")</f>
        <v>-</v>
      </c>
      <c r="J133" s="1">
        <f>IFERROR(__xludf.DUMMYFUNCTION("""COMPUTED_VALUE"""),436.0)</f>
        <v>436</v>
      </c>
      <c r="K133" s="1">
        <f>IFERROR(__xludf.DUMMYFUNCTION("""COMPUTED_VALUE"""),5.0)</f>
        <v>5</v>
      </c>
      <c r="L133" s="1" t="str">
        <f>IFERROR(__xludf.DUMMYFUNCTION("""COMPUTED_VALUE"""),"-")</f>
        <v>-</v>
      </c>
      <c r="M133" s="1" t="str">
        <f>IFERROR(__xludf.DUMMYFUNCTION("""COMPUTED_VALUE"""),"约6年")</f>
        <v>约6年</v>
      </c>
      <c r="N133" s="1" t="str">
        <f>IFERROR(__xludf.DUMMYFUNCTION("""COMPUTED_VALUE"""),"政变")</f>
        <v>政变</v>
      </c>
      <c r="O133" s="1" t="str">
        <f>IFERROR(__xludf.DUMMYFUNCTION("""COMPUTED_VALUE"""),"冯跋之弟，北燕亡")</f>
        <v>冯跋之弟，北燕亡</v>
      </c>
    </row>
    <row r="134">
      <c r="A134" s="1" t="str">
        <f>IFERROR(__xludf.DUMMYFUNCTION("SPLIT(CSV!A:A,"","")"),"北凉")</f>
        <v>北凉</v>
      </c>
      <c r="B134" s="1">
        <f>IFERROR(__xludf.DUMMYFUNCTION("""COMPUTED_VALUE"""),3.0)</f>
        <v>3</v>
      </c>
      <c r="C134" s="1" t="str">
        <f>IFERROR(__xludf.DUMMYFUNCTION("""COMPUTED_VALUE"""),"-")</f>
        <v>-</v>
      </c>
      <c r="D134" s="1" t="str">
        <f>IFERROR(__xludf.DUMMYFUNCTION("""COMPUTED_VALUE"""),"哀王")</f>
        <v>哀王</v>
      </c>
      <c r="E134" s="1" t="str">
        <f>IFERROR(__xludf.DUMMYFUNCTION("""COMPUTED_VALUE"""),"沮渠牧犍")</f>
        <v>沮渠牧犍</v>
      </c>
      <c r="F134" s="1" t="str">
        <f>IFERROR(__xludf.DUMMYFUNCTION("""COMPUTED_VALUE"""),"沮渠牧犍")</f>
        <v>沮渠牧犍</v>
      </c>
      <c r="G134" s="1">
        <f>IFERROR(__xludf.DUMMYFUNCTION("""COMPUTED_VALUE"""),433.0)</f>
        <v>433</v>
      </c>
      <c r="H134" s="1">
        <f>IFERROR(__xludf.DUMMYFUNCTION("""COMPUTED_VALUE"""),4.0)</f>
        <v>4</v>
      </c>
      <c r="I134" s="1" t="str">
        <f>IFERROR(__xludf.DUMMYFUNCTION("""COMPUTED_VALUE"""),"-")</f>
        <v>-</v>
      </c>
      <c r="J134" s="1">
        <f>IFERROR(__xludf.DUMMYFUNCTION("""COMPUTED_VALUE"""),439.0)</f>
        <v>439</v>
      </c>
      <c r="K134" s="1">
        <f>IFERROR(__xludf.DUMMYFUNCTION("""COMPUTED_VALUE"""),9.0)</f>
        <v>9</v>
      </c>
      <c r="L134" s="1" t="str">
        <f>IFERROR(__xludf.DUMMYFUNCTION("""COMPUTED_VALUE"""),"-")</f>
        <v>-</v>
      </c>
      <c r="M134" s="1" t="str">
        <f>IFERROR(__xludf.DUMMYFUNCTION("""COMPUTED_VALUE"""),"约6年")</f>
        <v>约6年</v>
      </c>
      <c r="N134" s="1" t="str">
        <f>IFERROR(__xludf.DUMMYFUNCTION("""COMPUTED_VALUE"""),"继承")</f>
        <v>继承</v>
      </c>
      <c r="O134" s="1" t="str">
        <f>IFERROR(__xludf.DUMMYFUNCTION("""COMPUTED_VALUE"""),"沮渠蒙逊第三子，北凉亡")</f>
        <v>沮渠蒙逊第三子，北凉亡</v>
      </c>
    </row>
    <row r="135">
      <c r="A135" s="1" t="str">
        <f>IFERROR(__xludf.DUMMYFUNCTION("SPLIT(CSV!A:A,"","")"),"北魏")</f>
        <v>北魏</v>
      </c>
      <c r="B135" s="1">
        <f>IFERROR(__xludf.DUMMYFUNCTION("""COMPUTED_VALUE"""),4.0)</f>
        <v>4</v>
      </c>
      <c r="C135" s="1" t="str">
        <f>IFERROR(__xludf.DUMMYFUNCTION("""COMPUTED_VALUE"""),"-")</f>
        <v>-</v>
      </c>
      <c r="D135" s="1" t="str">
        <f>IFERROR(__xludf.DUMMYFUNCTION("""COMPUTED_VALUE"""),"-")</f>
        <v>-</v>
      </c>
      <c r="E135" s="1" t="str">
        <f>IFERROR(__xludf.DUMMYFUNCTION("""COMPUTED_VALUE"""),"南安王")</f>
        <v>南安王</v>
      </c>
      <c r="F135" s="1" t="str">
        <f>IFERROR(__xludf.DUMMYFUNCTION("""COMPUTED_VALUE"""),"拓跋余")</f>
        <v>拓跋余</v>
      </c>
      <c r="G135" s="1">
        <f>IFERROR(__xludf.DUMMYFUNCTION("""COMPUTED_VALUE"""),452.0)</f>
        <v>452</v>
      </c>
      <c r="H135" s="1">
        <f>IFERROR(__xludf.DUMMYFUNCTION("""COMPUTED_VALUE"""),3.0)</f>
        <v>3</v>
      </c>
      <c r="I135" s="1">
        <f>IFERROR(__xludf.DUMMYFUNCTION("""COMPUTED_VALUE"""),11.0)</f>
        <v>11</v>
      </c>
      <c r="J135" s="1">
        <f>IFERROR(__xludf.DUMMYFUNCTION("""COMPUTED_VALUE"""),452.0)</f>
        <v>452</v>
      </c>
      <c r="K135" s="1">
        <f>IFERROR(__xludf.DUMMYFUNCTION("""COMPUTED_VALUE"""),10.0)</f>
        <v>10</v>
      </c>
      <c r="L135" s="1">
        <f>IFERROR(__xludf.DUMMYFUNCTION("""COMPUTED_VALUE"""),29.0)</f>
        <v>29</v>
      </c>
      <c r="M135" s="1" t="str">
        <f>IFERROR(__xludf.DUMMYFUNCTION("""COMPUTED_VALUE"""),"232天")</f>
        <v>232天</v>
      </c>
      <c r="N135" s="1" t="str">
        <f>IFERROR(__xludf.DUMMYFUNCTION("""COMPUTED_VALUE"""),"政变")</f>
        <v>政变</v>
      </c>
      <c r="O135" s="1" t="str">
        <f>IFERROR(__xludf.DUMMYFUNCTION("""COMPUTED_VALUE"""),"宦官宗爱弑拓跋焘后立")</f>
        <v>宦官宗爱弑拓跋焘后立</v>
      </c>
    </row>
    <row r="136">
      <c r="A136" s="1" t="str">
        <f>IFERROR(__xludf.DUMMYFUNCTION("SPLIT(CSV!A:A,"","")"),"北魏")</f>
        <v>北魏</v>
      </c>
      <c r="B136" s="1">
        <f>IFERROR(__xludf.DUMMYFUNCTION("""COMPUTED_VALUE"""),5.0)</f>
        <v>5</v>
      </c>
      <c r="C136" s="1" t="str">
        <f>IFERROR(__xludf.DUMMYFUNCTION("""COMPUTED_VALUE"""),"高宗")</f>
        <v>高宗</v>
      </c>
      <c r="D136" s="1" t="str">
        <f>IFERROR(__xludf.DUMMYFUNCTION("""COMPUTED_VALUE"""),"文成皇帝")</f>
        <v>文成皇帝</v>
      </c>
      <c r="E136" s="1" t="str">
        <f>IFERROR(__xludf.DUMMYFUNCTION("""COMPUTED_VALUE"""),"魏文成帝")</f>
        <v>魏文成帝</v>
      </c>
      <c r="F136" s="1" t="str">
        <f>IFERROR(__xludf.DUMMYFUNCTION("""COMPUTED_VALUE"""),"拓跋濬")</f>
        <v>拓跋濬</v>
      </c>
      <c r="G136" s="1">
        <f>IFERROR(__xludf.DUMMYFUNCTION("""COMPUTED_VALUE"""),452.0)</f>
        <v>452</v>
      </c>
      <c r="H136" s="1">
        <f>IFERROR(__xludf.DUMMYFUNCTION("""COMPUTED_VALUE"""),10.0)</f>
        <v>10</v>
      </c>
      <c r="I136" s="1">
        <f>IFERROR(__xludf.DUMMYFUNCTION("""COMPUTED_VALUE"""),29.0)</f>
        <v>29</v>
      </c>
      <c r="J136" s="1">
        <f>IFERROR(__xludf.DUMMYFUNCTION("""COMPUTED_VALUE"""),465.0)</f>
        <v>465</v>
      </c>
      <c r="K136" s="1">
        <f>IFERROR(__xludf.DUMMYFUNCTION("""COMPUTED_VALUE"""),6.0)</f>
        <v>6</v>
      </c>
      <c r="L136" s="1">
        <f>IFERROR(__xludf.DUMMYFUNCTION("""COMPUTED_VALUE"""),21.0)</f>
        <v>21</v>
      </c>
      <c r="M136" s="1" t="str">
        <f>IFERROR(__xludf.DUMMYFUNCTION("""COMPUTED_VALUE"""),"12年235天")</f>
        <v>12年235天</v>
      </c>
      <c r="N136" s="1" t="str">
        <f>IFERROR(__xludf.DUMMYFUNCTION("""COMPUTED_VALUE"""),"政变")</f>
        <v>政变</v>
      </c>
      <c r="O136" s="1" t="str">
        <f>IFERROR(__xludf.DUMMYFUNCTION("""COMPUTED_VALUE"""),"源贺等诛宗爱后立")</f>
        <v>源贺等诛宗爱后立</v>
      </c>
    </row>
    <row r="137">
      <c r="A137" s="1" t="str">
        <f>IFERROR(__xludf.DUMMYFUNCTION("SPLIT(CSV!A:A,"","")"),"刘宋")</f>
        <v>刘宋</v>
      </c>
      <c r="B137" s="1">
        <f>IFERROR(__xludf.DUMMYFUNCTION("""COMPUTED_VALUE"""),4.0)</f>
        <v>4</v>
      </c>
      <c r="C137" s="1" t="str">
        <f>IFERROR(__xludf.DUMMYFUNCTION("""COMPUTED_VALUE"""),"-")</f>
        <v>-</v>
      </c>
      <c r="D137" s="1" t="str">
        <f>IFERROR(__xludf.DUMMYFUNCTION("""COMPUTED_VALUE"""),"元凶")</f>
        <v>元凶</v>
      </c>
      <c r="E137" s="1" t="str">
        <f>IFERROR(__xludf.DUMMYFUNCTION("""COMPUTED_VALUE"""),"-")</f>
        <v>-</v>
      </c>
      <c r="F137" s="1" t="str">
        <f>IFERROR(__xludf.DUMMYFUNCTION("""COMPUTED_VALUE"""),"刘劭")</f>
        <v>刘劭</v>
      </c>
      <c r="G137" s="1">
        <f>IFERROR(__xludf.DUMMYFUNCTION("""COMPUTED_VALUE"""),453.0)</f>
        <v>453</v>
      </c>
      <c r="H137" s="1">
        <f>IFERROR(__xludf.DUMMYFUNCTION("""COMPUTED_VALUE"""),3.0)</f>
        <v>3</v>
      </c>
      <c r="I137" s="1">
        <f>IFERROR(__xludf.DUMMYFUNCTION("""COMPUTED_VALUE"""),16.0)</f>
        <v>16</v>
      </c>
      <c r="J137" s="1">
        <f>IFERROR(__xludf.DUMMYFUNCTION("""COMPUTED_VALUE"""),453.0)</f>
        <v>453</v>
      </c>
      <c r="K137" s="1">
        <f>IFERROR(__xludf.DUMMYFUNCTION("""COMPUTED_VALUE"""),5.0)</f>
        <v>5</v>
      </c>
      <c r="L137" s="1">
        <f>IFERROR(__xludf.DUMMYFUNCTION("""COMPUTED_VALUE"""),27.0)</f>
        <v>27</v>
      </c>
      <c r="M137" s="1" t="str">
        <f>IFERROR(__xludf.DUMMYFUNCTION("""COMPUTED_VALUE"""),"72天")</f>
        <v>72天</v>
      </c>
      <c r="N137" s="1" t="str">
        <f>IFERROR(__xludf.DUMMYFUNCTION("""COMPUTED_VALUE"""),"弑君篡位")</f>
        <v>弑君篡位</v>
      </c>
      <c r="O137" s="1" t="str">
        <f>IFERROR(__xludf.DUMMYFUNCTION("""COMPUTED_VALUE"""),"弑父刘义隆自立")</f>
        <v>弑父刘义隆自立</v>
      </c>
    </row>
    <row r="138">
      <c r="A138" s="1" t="str">
        <f>IFERROR(__xludf.DUMMYFUNCTION("SPLIT(CSV!A:A,"","")"),"刘宋")</f>
        <v>刘宋</v>
      </c>
      <c r="B138" s="1">
        <f>IFERROR(__xludf.DUMMYFUNCTION("""COMPUTED_VALUE"""),5.0)</f>
        <v>5</v>
      </c>
      <c r="C138" s="1" t="str">
        <f>IFERROR(__xludf.DUMMYFUNCTION("""COMPUTED_VALUE"""),"世祖")</f>
        <v>世祖</v>
      </c>
      <c r="D138" s="1" t="str">
        <f>IFERROR(__xludf.DUMMYFUNCTION("""COMPUTED_VALUE"""),"孝武皇帝")</f>
        <v>孝武皇帝</v>
      </c>
      <c r="E138" s="1" t="str">
        <f>IFERROR(__xludf.DUMMYFUNCTION("""COMPUTED_VALUE"""),"宋孝武帝")</f>
        <v>宋孝武帝</v>
      </c>
      <c r="F138" s="1" t="str">
        <f>IFERROR(__xludf.DUMMYFUNCTION("""COMPUTED_VALUE"""),"刘骏")</f>
        <v>刘骏</v>
      </c>
      <c r="G138" s="1">
        <f>IFERROR(__xludf.DUMMYFUNCTION("""COMPUTED_VALUE"""),453.0)</f>
        <v>453</v>
      </c>
      <c r="H138" s="1">
        <f>IFERROR(__xludf.DUMMYFUNCTION("""COMPUTED_VALUE"""),5.0)</f>
        <v>5</v>
      </c>
      <c r="I138" s="1">
        <f>IFERROR(__xludf.DUMMYFUNCTION("""COMPUTED_VALUE"""),27.0)</f>
        <v>27</v>
      </c>
      <c r="J138" s="1">
        <f>IFERROR(__xludf.DUMMYFUNCTION("""COMPUTED_VALUE"""),464.0)</f>
        <v>464</v>
      </c>
      <c r="K138" s="1">
        <f>IFERROR(__xludf.DUMMYFUNCTION("""COMPUTED_VALUE"""),7.0)</f>
        <v>7</v>
      </c>
      <c r="L138" s="1">
        <f>IFERROR(__xludf.DUMMYFUNCTION("""COMPUTED_VALUE"""),12.0)</f>
        <v>12</v>
      </c>
      <c r="M138" s="1" t="str">
        <f>IFERROR(__xludf.DUMMYFUNCTION("""COMPUTED_VALUE"""),"11年46天")</f>
        <v>11年46天</v>
      </c>
      <c r="N138" s="1" t="str">
        <f>IFERROR(__xludf.DUMMYFUNCTION("""COMPUTED_VALUE"""),"政变")</f>
        <v>政变</v>
      </c>
      <c r="O138" s="1" t="str">
        <f>IFERROR(__xludf.DUMMYFUNCTION("""COMPUTED_VALUE"""),"-")</f>
        <v>-</v>
      </c>
    </row>
    <row r="139">
      <c r="A139" s="1" t="str">
        <f>IFERROR(__xludf.DUMMYFUNCTION("SPLIT(CSV!A:A,"","")"),"刘宋")</f>
        <v>刘宋</v>
      </c>
      <c r="B139" s="1">
        <f>IFERROR(__xludf.DUMMYFUNCTION("""COMPUTED_VALUE"""),6.0)</f>
        <v>6</v>
      </c>
      <c r="C139" s="1" t="str">
        <f>IFERROR(__xludf.DUMMYFUNCTION("""COMPUTED_VALUE"""),"-")</f>
        <v>-</v>
      </c>
      <c r="D139" s="1" t="str">
        <f>IFERROR(__xludf.DUMMYFUNCTION("""COMPUTED_VALUE"""),"前废帝")</f>
        <v>前废帝</v>
      </c>
      <c r="E139" s="1" t="str">
        <f>IFERROR(__xludf.DUMMYFUNCTION("""COMPUTED_VALUE"""),"-")</f>
        <v>-</v>
      </c>
      <c r="F139" s="1" t="str">
        <f>IFERROR(__xludf.DUMMYFUNCTION("""COMPUTED_VALUE"""),"刘子业")</f>
        <v>刘子业</v>
      </c>
      <c r="G139" s="1">
        <f>IFERROR(__xludf.DUMMYFUNCTION("""COMPUTED_VALUE"""),464.0)</f>
        <v>464</v>
      </c>
      <c r="H139" s="1">
        <f>IFERROR(__xludf.DUMMYFUNCTION("""COMPUTED_VALUE"""),7.0)</f>
        <v>7</v>
      </c>
      <c r="I139" s="1">
        <f>IFERROR(__xludf.DUMMYFUNCTION("""COMPUTED_VALUE"""),12.0)</f>
        <v>12</v>
      </c>
      <c r="J139" s="1">
        <f>IFERROR(__xludf.DUMMYFUNCTION("""COMPUTED_VALUE"""),466.0)</f>
        <v>466</v>
      </c>
      <c r="K139" s="1">
        <f>IFERROR(__xludf.DUMMYFUNCTION("""COMPUTED_VALUE"""),1.0)</f>
        <v>1</v>
      </c>
      <c r="L139" s="1">
        <f>IFERROR(__xludf.DUMMYFUNCTION("""COMPUTED_VALUE"""),1.0)</f>
        <v>1</v>
      </c>
      <c r="M139" s="1" t="str">
        <f>IFERROR(__xludf.DUMMYFUNCTION("""COMPUTED_VALUE"""),"1年173天")</f>
        <v>1年173天</v>
      </c>
      <c r="N139" s="1" t="str">
        <f>IFERROR(__xludf.DUMMYFUNCTION("""COMPUTED_VALUE"""),"继承")</f>
        <v>继承</v>
      </c>
      <c r="O139" s="1" t="str">
        <f>IFERROR(__xludf.DUMMYFUNCTION("""COMPUTED_VALUE"""),"被弑")</f>
        <v>被弑</v>
      </c>
    </row>
    <row r="140">
      <c r="A140" s="1" t="str">
        <f>IFERROR(__xludf.DUMMYFUNCTION("SPLIT(CSV!A:A,"","")"),"北魏")</f>
        <v>北魏</v>
      </c>
      <c r="B140" s="1">
        <f>IFERROR(__xludf.DUMMYFUNCTION("""COMPUTED_VALUE"""),6.0)</f>
        <v>6</v>
      </c>
      <c r="C140" s="1" t="str">
        <f>IFERROR(__xludf.DUMMYFUNCTION("""COMPUTED_VALUE"""),"显祖")</f>
        <v>显祖</v>
      </c>
      <c r="D140" s="1" t="str">
        <f>IFERROR(__xludf.DUMMYFUNCTION("""COMPUTED_VALUE"""),"献文皇帝")</f>
        <v>献文皇帝</v>
      </c>
      <c r="E140" s="1" t="str">
        <f>IFERROR(__xludf.DUMMYFUNCTION("""COMPUTED_VALUE"""),"魏献文帝")</f>
        <v>魏献文帝</v>
      </c>
      <c r="F140" s="1" t="str">
        <f>IFERROR(__xludf.DUMMYFUNCTION("""COMPUTED_VALUE"""),"拓跋弘")</f>
        <v>拓跋弘</v>
      </c>
      <c r="G140" s="1">
        <f>IFERROR(__xludf.DUMMYFUNCTION("""COMPUTED_VALUE"""),465.0)</f>
        <v>465</v>
      </c>
      <c r="H140" s="1">
        <f>IFERROR(__xludf.DUMMYFUNCTION("""COMPUTED_VALUE"""),6.0)</f>
        <v>6</v>
      </c>
      <c r="I140" s="1">
        <f>IFERROR(__xludf.DUMMYFUNCTION("""COMPUTED_VALUE"""),21.0)</f>
        <v>21</v>
      </c>
      <c r="J140" s="1">
        <f>IFERROR(__xludf.DUMMYFUNCTION("""COMPUTED_VALUE"""),471.0)</f>
        <v>471</v>
      </c>
      <c r="K140" s="1">
        <f>IFERROR(__xludf.DUMMYFUNCTION("""COMPUTED_VALUE"""),8.0)</f>
        <v>8</v>
      </c>
      <c r="L140" s="1">
        <f>IFERROR(__xludf.DUMMYFUNCTION("""COMPUTED_VALUE"""),20.0)</f>
        <v>20</v>
      </c>
      <c r="M140" s="1" t="str">
        <f>IFERROR(__xludf.DUMMYFUNCTION("""COMPUTED_VALUE"""),"6年60天")</f>
        <v>6年60天</v>
      </c>
      <c r="N140" s="1" t="str">
        <f>IFERROR(__xludf.DUMMYFUNCTION("""COMPUTED_VALUE"""),"继承")</f>
        <v>继承</v>
      </c>
      <c r="O140" s="1" t="str">
        <f>IFERROR(__xludf.DUMMYFUNCTION("""COMPUTED_VALUE"""),"拓跋濬长子")</f>
        <v>拓跋濬长子</v>
      </c>
    </row>
    <row r="141">
      <c r="A141" s="1" t="str">
        <f>IFERROR(__xludf.DUMMYFUNCTION("SPLIT(CSV!A:A,"","")"),"刘宋")</f>
        <v>刘宋</v>
      </c>
      <c r="B141" s="1">
        <f>IFERROR(__xludf.DUMMYFUNCTION("""COMPUTED_VALUE"""),7.0)</f>
        <v>7</v>
      </c>
      <c r="C141" s="1" t="str">
        <f>IFERROR(__xludf.DUMMYFUNCTION("""COMPUTED_VALUE"""),"太宗")</f>
        <v>太宗</v>
      </c>
      <c r="D141" s="1" t="str">
        <f>IFERROR(__xludf.DUMMYFUNCTION("""COMPUTED_VALUE"""),"明皇帝")</f>
        <v>明皇帝</v>
      </c>
      <c r="E141" s="1" t="str">
        <f>IFERROR(__xludf.DUMMYFUNCTION("""COMPUTED_VALUE"""),"宋明帝")</f>
        <v>宋明帝</v>
      </c>
      <c r="F141" s="1" t="str">
        <f>IFERROR(__xludf.DUMMYFUNCTION("""COMPUTED_VALUE"""),"刘彧")</f>
        <v>刘彧</v>
      </c>
      <c r="G141" s="1">
        <f>IFERROR(__xludf.DUMMYFUNCTION("""COMPUTED_VALUE"""),466.0)</f>
        <v>466</v>
      </c>
      <c r="H141" s="1">
        <f>IFERROR(__xludf.DUMMYFUNCTION("""COMPUTED_VALUE"""),1.0)</f>
        <v>1</v>
      </c>
      <c r="I141" s="1">
        <f>IFERROR(__xludf.DUMMYFUNCTION("""COMPUTED_VALUE"""),1.0)</f>
        <v>1</v>
      </c>
      <c r="J141" s="1">
        <f>IFERROR(__xludf.DUMMYFUNCTION("""COMPUTED_VALUE"""),472.0)</f>
        <v>472</v>
      </c>
      <c r="K141" s="1">
        <f>IFERROR(__xludf.DUMMYFUNCTION("""COMPUTED_VALUE"""),5.0)</f>
        <v>5</v>
      </c>
      <c r="L141" s="1">
        <f>IFERROR(__xludf.DUMMYFUNCTION("""COMPUTED_VALUE"""),10.0)</f>
        <v>10</v>
      </c>
      <c r="M141" s="1" t="str">
        <f>IFERROR(__xludf.DUMMYFUNCTION("""COMPUTED_VALUE"""),"6年130天")</f>
        <v>6年130天</v>
      </c>
      <c r="N141" s="1" t="str">
        <f>IFERROR(__xludf.DUMMYFUNCTION("""COMPUTED_VALUE"""),"政变")</f>
        <v>政变</v>
      </c>
      <c r="O141" s="1" t="str">
        <f>IFERROR(__xludf.DUMMYFUNCTION("""COMPUTED_VALUE"""),"-")</f>
        <v>-</v>
      </c>
    </row>
    <row r="142">
      <c r="A142" s="1" t="str">
        <f>IFERROR(__xludf.DUMMYFUNCTION("SPLIT(CSV!A:A,"","")"),"北魏")</f>
        <v>北魏</v>
      </c>
      <c r="B142" s="1">
        <f>IFERROR(__xludf.DUMMYFUNCTION("""COMPUTED_VALUE"""),7.0)</f>
        <v>7</v>
      </c>
      <c r="C142" s="1" t="str">
        <f>IFERROR(__xludf.DUMMYFUNCTION("""COMPUTED_VALUE"""),"高祖")</f>
        <v>高祖</v>
      </c>
      <c r="D142" s="1" t="str">
        <f>IFERROR(__xludf.DUMMYFUNCTION("""COMPUTED_VALUE"""),"孝文皇帝")</f>
        <v>孝文皇帝</v>
      </c>
      <c r="E142" s="1" t="str">
        <f>IFERROR(__xludf.DUMMYFUNCTION("""COMPUTED_VALUE"""),"魏孝文帝")</f>
        <v>魏孝文帝</v>
      </c>
      <c r="F142" s="1" t="str">
        <f>IFERROR(__xludf.DUMMYFUNCTION("""COMPUTED_VALUE"""),"元宏")</f>
        <v>元宏</v>
      </c>
      <c r="G142" s="1">
        <f>IFERROR(__xludf.DUMMYFUNCTION("""COMPUTED_VALUE"""),471.0)</f>
        <v>471</v>
      </c>
      <c r="H142" s="1">
        <f>IFERROR(__xludf.DUMMYFUNCTION("""COMPUTED_VALUE"""),9.0)</f>
        <v>9</v>
      </c>
      <c r="I142" s="1">
        <f>IFERROR(__xludf.DUMMYFUNCTION("""COMPUTED_VALUE"""),20.0)</f>
        <v>20</v>
      </c>
      <c r="J142" s="1">
        <f>IFERROR(__xludf.DUMMYFUNCTION("""COMPUTED_VALUE"""),499.0)</f>
        <v>499</v>
      </c>
      <c r="K142" s="1">
        <f>IFERROR(__xludf.DUMMYFUNCTION("""COMPUTED_VALUE"""),4.0)</f>
        <v>4</v>
      </c>
      <c r="L142" s="1">
        <f>IFERROR(__xludf.DUMMYFUNCTION("""COMPUTED_VALUE"""),26.0)</f>
        <v>26</v>
      </c>
      <c r="M142" s="1" t="str">
        <f>IFERROR(__xludf.DUMMYFUNCTION("""COMPUTED_VALUE"""),"27年218天")</f>
        <v>27年218天</v>
      </c>
      <c r="N142" s="1" t="str">
        <f>IFERROR(__xludf.DUMMYFUNCTION("""COMPUTED_VALUE"""),"继承")</f>
        <v>继承</v>
      </c>
      <c r="O142" s="1" t="str">
        <f>IFERROR(__xludf.DUMMYFUNCTION("""COMPUTED_VALUE"""),"拓跋弘长子，改汉姓")</f>
        <v>拓跋弘长子，改汉姓</v>
      </c>
    </row>
    <row r="143">
      <c r="A143" s="1" t="str">
        <f>IFERROR(__xludf.DUMMYFUNCTION("SPLIT(CSV!A:A,"","")"),"刘宋")</f>
        <v>刘宋</v>
      </c>
      <c r="B143" s="1">
        <f>IFERROR(__xludf.DUMMYFUNCTION("""COMPUTED_VALUE"""),8.0)</f>
        <v>8</v>
      </c>
      <c r="C143" s="1" t="str">
        <f>IFERROR(__xludf.DUMMYFUNCTION("""COMPUTED_VALUE"""),"-")</f>
        <v>-</v>
      </c>
      <c r="D143" s="1" t="str">
        <f>IFERROR(__xludf.DUMMYFUNCTION("""COMPUTED_VALUE"""),"后废帝")</f>
        <v>后废帝</v>
      </c>
      <c r="E143" s="1" t="str">
        <f>IFERROR(__xludf.DUMMYFUNCTION("""COMPUTED_VALUE"""),"-")</f>
        <v>-</v>
      </c>
      <c r="F143" s="1" t="str">
        <f>IFERROR(__xludf.DUMMYFUNCTION("""COMPUTED_VALUE"""),"刘昱")</f>
        <v>刘昱</v>
      </c>
      <c r="G143" s="1">
        <f>IFERROR(__xludf.DUMMYFUNCTION("""COMPUTED_VALUE"""),472.0)</f>
        <v>472</v>
      </c>
      <c r="H143" s="1">
        <f>IFERROR(__xludf.DUMMYFUNCTION("""COMPUTED_VALUE"""),5.0)</f>
        <v>5</v>
      </c>
      <c r="I143" s="1">
        <f>IFERROR(__xludf.DUMMYFUNCTION("""COMPUTED_VALUE"""),10.0)</f>
        <v>10</v>
      </c>
      <c r="J143" s="1">
        <f>IFERROR(__xludf.DUMMYFUNCTION("""COMPUTED_VALUE"""),477.0)</f>
        <v>477</v>
      </c>
      <c r="K143" s="1">
        <f>IFERROR(__xludf.DUMMYFUNCTION("""COMPUTED_VALUE"""),8.0)</f>
        <v>8</v>
      </c>
      <c r="L143" s="1">
        <f>IFERROR(__xludf.DUMMYFUNCTION("""COMPUTED_VALUE"""),1.0)</f>
        <v>1</v>
      </c>
      <c r="M143" s="1" t="str">
        <f>IFERROR(__xludf.DUMMYFUNCTION("""COMPUTED_VALUE"""),"5年83天")</f>
        <v>5年83天</v>
      </c>
      <c r="N143" s="1" t="str">
        <f>IFERROR(__xludf.DUMMYFUNCTION("""COMPUTED_VALUE"""),"继承")</f>
        <v>继承</v>
      </c>
      <c r="O143" s="1" t="str">
        <f>IFERROR(__xludf.DUMMYFUNCTION("""COMPUTED_VALUE"""),"被弑")</f>
        <v>被弑</v>
      </c>
    </row>
    <row r="144">
      <c r="A144" s="1" t="str">
        <f>IFERROR(__xludf.DUMMYFUNCTION("SPLIT(CSV!A:A,"","")"),"刘宋")</f>
        <v>刘宋</v>
      </c>
      <c r="B144" s="1">
        <f>IFERROR(__xludf.DUMMYFUNCTION("""COMPUTED_VALUE"""),9.0)</f>
        <v>9</v>
      </c>
      <c r="C144" s="1" t="str">
        <f>IFERROR(__xludf.DUMMYFUNCTION("""COMPUTED_VALUE"""),"-")</f>
        <v>-</v>
      </c>
      <c r="D144" s="1" t="str">
        <f>IFERROR(__xludf.DUMMYFUNCTION("""COMPUTED_VALUE"""),"顺皇帝")</f>
        <v>顺皇帝</v>
      </c>
      <c r="E144" s="1" t="str">
        <f>IFERROR(__xludf.DUMMYFUNCTION("""COMPUTED_VALUE"""),"宋顺帝")</f>
        <v>宋顺帝</v>
      </c>
      <c r="F144" s="1" t="str">
        <f>IFERROR(__xludf.DUMMYFUNCTION("""COMPUTED_VALUE"""),"刘准")</f>
        <v>刘准</v>
      </c>
      <c r="G144" s="1">
        <f>IFERROR(__xludf.DUMMYFUNCTION("""COMPUTED_VALUE"""),477.0)</f>
        <v>477</v>
      </c>
      <c r="H144" s="1">
        <f>IFERROR(__xludf.DUMMYFUNCTION("""COMPUTED_VALUE"""),8.0)</f>
        <v>8</v>
      </c>
      <c r="I144" s="1">
        <f>IFERROR(__xludf.DUMMYFUNCTION("""COMPUTED_VALUE"""),1.0)</f>
        <v>1</v>
      </c>
      <c r="J144" s="1">
        <f>IFERROR(__xludf.DUMMYFUNCTION("""COMPUTED_VALUE"""),479.0)</f>
        <v>479</v>
      </c>
      <c r="K144" s="1">
        <f>IFERROR(__xludf.DUMMYFUNCTION("""COMPUTED_VALUE"""),6.0)</f>
        <v>6</v>
      </c>
      <c r="L144" s="1">
        <f>IFERROR(__xludf.DUMMYFUNCTION("""COMPUTED_VALUE"""),1.0)</f>
        <v>1</v>
      </c>
      <c r="M144" s="1" t="str">
        <f>IFERROR(__xludf.DUMMYFUNCTION("""COMPUTED_VALUE"""),"1年304天")</f>
        <v>1年304天</v>
      </c>
      <c r="N144" s="1" t="str">
        <f>IFERROR(__xludf.DUMMYFUNCTION("""COMPUTED_VALUE"""),"政变")</f>
        <v>政变</v>
      </c>
      <c r="O144" s="1" t="str">
        <f>IFERROR(__xludf.DUMMYFUNCTION("""COMPUTED_VALUE"""),"被迫禅让于萧道成")</f>
        <v>被迫禅让于萧道成</v>
      </c>
    </row>
    <row r="145">
      <c r="A145" s="1" t="str">
        <f>IFERROR(__xludf.DUMMYFUNCTION("SPLIT(CSV!A:A,"","")"),"南齐")</f>
        <v>南齐</v>
      </c>
      <c r="B145" s="1">
        <f>IFERROR(__xludf.DUMMYFUNCTION("""COMPUTED_VALUE"""),1.0)</f>
        <v>1</v>
      </c>
      <c r="C145" s="1" t="str">
        <f>IFERROR(__xludf.DUMMYFUNCTION("""COMPUTED_VALUE"""),"太祖")</f>
        <v>太祖</v>
      </c>
      <c r="D145" s="1" t="str">
        <f>IFERROR(__xludf.DUMMYFUNCTION("""COMPUTED_VALUE"""),"高皇帝")</f>
        <v>高皇帝</v>
      </c>
      <c r="E145" s="1" t="str">
        <f>IFERROR(__xludf.DUMMYFUNCTION("""COMPUTED_VALUE"""),"齐高帝")</f>
        <v>齐高帝</v>
      </c>
      <c r="F145" s="1" t="str">
        <f>IFERROR(__xludf.DUMMYFUNCTION("""COMPUTED_VALUE"""),"萧道成")</f>
        <v>萧道成</v>
      </c>
      <c r="G145" s="1">
        <f>IFERROR(__xludf.DUMMYFUNCTION("""COMPUTED_VALUE"""),479.0)</f>
        <v>479</v>
      </c>
      <c r="H145" s="1">
        <f>IFERROR(__xludf.DUMMYFUNCTION("""COMPUTED_VALUE"""),6.0)</f>
        <v>6</v>
      </c>
      <c r="I145" s="1">
        <f>IFERROR(__xludf.DUMMYFUNCTION("""COMPUTED_VALUE"""),1.0)</f>
        <v>1</v>
      </c>
      <c r="J145" s="1">
        <f>IFERROR(__xludf.DUMMYFUNCTION("""COMPUTED_VALUE"""),482.0)</f>
        <v>482</v>
      </c>
      <c r="K145" s="1">
        <f>IFERROR(__xludf.DUMMYFUNCTION("""COMPUTED_VALUE"""),4.0)</f>
        <v>4</v>
      </c>
      <c r="L145" s="1">
        <f>IFERROR(__xludf.DUMMYFUNCTION("""COMPUTED_VALUE"""),11.0)</f>
        <v>11</v>
      </c>
      <c r="M145" s="1" t="str">
        <f>IFERROR(__xludf.DUMMYFUNCTION("""COMPUTED_VALUE"""),"2年314天")</f>
        <v>2年314天</v>
      </c>
      <c r="N145" s="1" t="str">
        <f>IFERROR(__xludf.DUMMYFUNCTION("""COMPUTED_VALUE"""),"受禅")</f>
        <v>受禅</v>
      </c>
      <c r="O145" s="1" t="str">
        <f>IFERROR(__xludf.DUMMYFUNCTION("""COMPUTED_VALUE"""),"受宋顺帝禅让")</f>
        <v>受宋顺帝禅让</v>
      </c>
    </row>
    <row r="146">
      <c r="A146" s="1" t="str">
        <f>IFERROR(__xludf.DUMMYFUNCTION("SPLIT(CSV!A:A,"","")"),"南齐")</f>
        <v>南齐</v>
      </c>
      <c r="B146" s="1">
        <f>IFERROR(__xludf.DUMMYFUNCTION("""COMPUTED_VALUE"""),2.0)</f>
        <v>2</v>
      </c>
      <c r="C146" s="1" t="str">
        <f>IFERROR(__xludf.DUMMYFUNCTION("""COMPUTED_VALUE"""),"世祖")</f>
        <v>世祖</v>
      </c>
      <c r="D146" s="1" t="str">
        <f>IFERROR(__xludf.DUMMYFUNCTION("""COMPUTED_VALUE"""),"武皇帝")</f>
        <v>武皇帝</v>
      </c>
      <c r="E146" s="1" t="str">
        <f>IFERROR(__xludf.DUMMYFUNCTION("""COMPUTED_VALUE"""),"齐武帝")</f>
        <v>齐武帝</v>
      </c>
      <c r="F146" s="1" t="str">
        <f>IFERROR(__xludf.DUMMYFUNCTION("""COMPUTED_VALUE"""),"萧赜")</f>
        <v>萧赜</v>
      </c>
      <c r="G146" s="1">
        <f>IFERROR(__xludf.DUMMYFUNCTION("""COMPUTED_VALUE"""),482.0)</f>
        <v>482</v>
      </c>
      <c r="H146" s="1">
        <f>IFERROR(__xludf.DUMMYFUNCTION("""COMPUTED_VALUE"""),4.0)</f>
        <v>4</v>
      </c>
      <c r="I146" s="1">
        <f>IFERROR(__xludf.DUMMYFUNCTION("""COMPUTED_VALUE"""),11.0)</f>
        <v>11</v>
      </c>
      <c r="J146" s="1">
        <f>IFERROR(__xludf.DUMMYFUNCTION("""COMPUTED_VALUE"""),493.0)</f>
        <v>493</v>
      </c>
      <c r="K146" s="1">
        <f>IFERROR(__xludf.DUMMYFUNCTION("""COMPUTED_VALUE"""),9.0)</f>
        <v>9</v>
      </c>
      <c r="L146" s="1">
        <f>IFERROR(__xludf.DUMMYFUNCTION("""COMPUTED_VALUE"""),30.0)</f>
        <v>30</v>
      </c>
      <c r="M146" s="1" t="str">
        <f>IFERROR(__xludf.DUMMYFUNCTION("""COMPUTED_VALUE"""),"11年172天")</f>
        <v>11年172天</v>
      </c>
      <c r="N146" s="1" t="str">
        <f>IFERROR(__xludf.DUMMYFUNCTION("""COMPUTED_VALUE"""),"继承")</f>
        <v>继承</v>
      </c>
      <c r="O146" s="1" t="str">
        <f>IFERROR(__xludf.DUMMYFUNCTION("""COMPUTED_VALUE"""),"-")</f>
        <v>-</v>
      </c>
    </row>
    <row r="147">
      <c r="A147" s="1" t="str">
        <f>IFERROR(__xludf.DUMMYFUNCTION("SPLIT(CSV!A:A,"","")"),"南齐")</f>
        <v>南齐</v>
      </c>
      <c r="B147" s="1">
        <f>IFERROR(__xludf.DUMMYFUNCTION("""COMPUTED_VALUE"""),3.0)</f>
        <v>3</v>
      </c>
      <c r="C147" s="1" t="str">
        <f>IFERROR(__xludf.DUMMYFUNCTION("""COMPUTED_VALUE"""),"-")</f>
        <v>-</v>
      </c>
      <c r="D147" s="1" t="str">
        <f>IFERROR(__xludf.DUMMYFUNCTION("""COMPUTED_VALUE"""),"郁林王")</f>
        <v>郁林王</v>
      </c>
      <c r="E147" s="1" t="str">
        <f>IFERROR(__xludf.DUMMYFUNCTION("""COMPUTED_VALUE"""),"-")</f>
        <v>-</v>
      </c>
      <c r="F147" s="1" t="str">
        <f>IFERROR(__xludf.DUMMYFUNCTION("""COMPUTED_VALUE"""),"萧昭业")</f>
        <v>萧昭业</v>
      </c>
      <c r="G147" s="1">
        <f>IFERROR(__xludf.DUMMYFUNCTION("""COMPUTED_VALUE"""),493.0)</f>
        <v>493</v>
      </c>
      <c r="H147" s="1">
        <f>IFERROR(__xludf.DUMMYFUNCTION("""COMPUTED_VALUE"""),9.0)</f>
        <v>9</v>
      </c>
      <c r="I147" s="1">
        <f>IFERROR(__xludf.DUMMYFUNCTION("""COMPUTED_VALUE"""),30.0)</f>
        <v>30</v>
      </c>
      <c r="J147" s="1">
        <f>IFERROR(__xludf.DUMMYFUNCTION("""COMPUTED_VALUE"""),494.0)</f>
        <v>494</v>
      </c>
      <c r="K147" s="1">
        <f>IFERROR(__xludf.DUMMYFUNCTION("""COMPUTED_VALUE"""),8.0)</f>
        <v>8</v>
      </c>
      <c r="L147" s="1">
        <f>IFERROR(__xludf.DUMMYFUNCTION("""COMPUTED_VALUE"""),5.0)</f>
        <v>5</v>
      </c>
      <c r="M147" s="1" t="str">
        <f>IFERROR(__xludf.DUMMYFUNCTION("""COMPUTED_VALUE"""),"309天")</f>
        <v>309天</v>
      </c>
      <c r="N147" s="1" t="str">
        <f>IFERROR(__xludf.DUMMYFUNCTION("""COMPUTED_VALUE"""),"继承")</f>
        <v>继承</v>
      </c>
      <c r="O147" s="1" t="str">
        <f>IFERROR(__xludf.DUMMYFUNCTION("""COMPUTED_VALUE"""),"被废杀")</f>
        <v>被废杀</v>
      </c>
    </row>
    <row r="148">
      <c r="A148" s="1" t="str">
        <f>IFERROR(__xludf.DUMMYFUNCTION("SPLIT(CSV!A:A,"","")"),"南齐")</f>
        <v>南齐</v>
      </c>
      <c r="B148" s="1">
        <f>IFERROR(__xludf.DUMMYFUNCTION("""COMPUTED_VALUE"""),4.0)</f>
        <v>4</v>
      </c>
      <c r="C148" s="1" t="str">
        <f>IFERROR(__xludf.DUMMYFUNCTION("""COMPUTED_VALUE"""),"-")</f>
        <v>-</v>
      </c>
      <c r="D148" s="1" t="str">
        <f>IFERROR(__xludf.DUMMYFUNCTION("""COMPUTED_VALUE"""),"海陵王")</f>
        <v>海陵王</v>
      </c>
      <c r="E148" s="1" t="str">
        <f>IFERROR(__xludf.DUMMYFUNCTION("""COMPUTED_VALUE"""),"-")</f>
        <v>-</v>
      </c>
      <c r="F148" s="1" t="str">
        <f>IFERROR(__xludf.DUMMYFUNCTION("""COMPUTED_VALUE"""),"萧昭文")</f>
        <v>萧昭文</v>
      </c>
      <c r="G148" s="1">
        <f>IFERROR(__xludf.DUMMYFUNCTION("""COMPUTED_VALUE"""),494.0)</f>
        <v>494</v>
      </c>
      <c r="H148" s="1">
        <f>IFERROR(__xludf.DUMMYFUNCTION("""COMPUTED_VALUE"""),8.0)</f>
        <v>8</v>
      </c>
      <c r="I148" s="1">
        <f>IFERROR(__xludf.DUMMYFUNCTION("""COMPUTED_VALUE"""),5.0)</f>
        <v>5</v>
      </c>
      <c r="J148" s="1">
        <f>IFERROR(__xludf.DUMMYFUNCTION("""COMPUTED_VALUE"""),494.0)</f>
        <v>494</v>
      </c>
      <c r="K148" s="1">
        <f>IFERROR(__xludf.DUMMYFUNCTION("""COMPUTED_VALUE"""),11.0)</f>
        <v>11</v>
      </c>
      <c r="L148" s="1">
        <f>IFERROR(__xludf.DUMMYFUNCTION("""COMPUTED_VALUE"""),23.0)</f>
        <v>23</v>
      </c>
      <c r="M148" s="1" t="str">
        <f>IFERROR(__xludf.DUMMYFUNCTION("""COMPUTED_VALUE"""),"110天")</f>
        <v>110天</v>
      </c>
      <c r="N148" s="1" t="str">
        <f>IFERROR(__xludf.DUMMYFUNCTION("""COMPUTED_VALUE"""),"政变")</f>
        <v>政变</v>
      </c>
      <c r="O148" s="1" t="str">
        <f>IFERROR(__xludf.DUMMYFUNCTION("""COMPUTED_VALUE"""),"被废杀")</f>
        <v>被废杀</v>
      </c>
    </row>
    <row r="149">
      <c r="A149" s="1" t="str">
        <f>IFERROR(__xludf.DUMMYFUNCTION("SPLIT(CSV!A:A,"","")"),"南齐")</f>
        <v>南齐</v>
      </c>
      <c r="B149" s="1">
        <f>IFERROR(__xludf.DUMMYFUNCTION("""COMPUTED_VALUE"""),5.0)</f>
        <v>5</v>
      </c>
      <c r="C149" s="1" t="str">
        <f>IFERROR(__xludf.DUMMYFUNCTION("""COMPUTED_VALUE"""),"高宗")</f>
        <v>高宗</v>
      </c>
      <c r="D149" s="1" t="str">
        <f>IFERROR(__xludf.DUMMYFUNCTION("""COMPUTED_VALUE"""),"明皇帝")</f>
        <v>明皇帝</v>
      </c>
      <c r="E149" s="1" t="str">
        <f>IFERROR(__xludf.DUMMYFUNCTION("""COMPUTED_VALUE"""),"齐明帝")</f>
        <v>齐明帝</v>
      </c>
      <c r="F149" s="1" t="str">
        <f>IFERROR(__xludf.DUMMYFUNCTION("""COMPUTED_VALUE"""),"萧鸾")</f>
        <v>萧鸾</v>
      </c>
      <c r="G149" s="1">
        <f>IFERROR(__xludf.DUMMYFUNCTION("""COMPUTED_VALUE"""),494.0)</f>
        <v>494</v>
      </c>
      <c r="H149" s="1">
        <f>IFERROR(__xludf.DUMMYFUNCTION("""COMPUTED_VALUE"""),11.0)</f>
        <v>11</v>
      </c>
      <c r="I149" s="1">
        <f>IFERROR(__xludf.DUMMYFUNCTION("""COMPUTED_VALUE"""),23.0)</f>
        <v>23</v>
      </c>
      <c r="J149" s="1">
        <f>IFERROR(__xludf.DUMMYFUNCTION("""COMPUTED_VALUE"""),498.0)</f>
        <v>498</v>
      </c>
      <c r="K149" s="1">
        <f>IFERROR(__xludf.DUMMYFUNCTION("""COMPUTED_VALUE"""),9.0)</f>
        <v>9</v>
      </c>
      <c r="L149" s="1">
        <f>IFERROR(__xludf.DUMMYFUNCTION("""COMPUTED_VALUE"""),1.0)</f>
        <v>1</v>
      </c>
      <c r="M149" s="1" t="str">
        <f>IFERROR(__xludf.DUMMYFUNCTION("""COMPUTED_VALUE"""),"3年282天")</f>
        <v>3年282天</v>
      </c>
      <c r="N149" s="1" t="str">
        <f>IFERROR(__xludf.DUMMYFUNCTION("""COMPUTED_VALUE"""),"篡位")</f>
        <v>篡位</v>
      </c>
      <c r="O149" s="1" t="str">
        <f>IFERROR(__xludf.DUMMYFUNCTION("""COMPUTED_VALUE"""),"-")</f>
        <v>-</v>
      </c>
    </row>
    <row r="150">
      <c r="A150" s="1" t="str">
        <f>IFERROR(__xludf.DUMMYFUNCTION("SPLIT(CSV!A:A,"","")"),"南齐")</f>
        <v>南齐</v>
      </c>
      <c r="B150" s="1">
        <f>IFERROR(__xludf.DUMMYFUNCTION("""COMPUTED_VALUE"""),6.0)</f>
        <v>6</v>
      </c>
      <c r="C150" s="1" t="str">
        <f>IFERROR(__xludf.DUMMYFUNCTION("""COMPUTED_VALUE"""),"-")</f>
        <v>-</v>
      </c>
      <c r="D150" s="1" t="str">
        <f>IFERROR(__xludf.DUMMYFUNCTION("""COMPUTED_VALUE"""),"炀皇帝/东昏侯")</f>
        <v>炀皇帝/东昏侯</v>
      </c>
      <c r="E150" s="1" t="str">
        <f>IFERROR(__xludf.DUMMYFUNCTION("""COMPUTED_VALUE"""),"-")</f>
        <v>-</v>
      </c>
      <c r="F150" s="1" t="str">
        <f>IFERROR(__xludf.DUMMYFUNCTION("""COMPUTED_VALUE"""),"萧宝卷")</f>
        <v>萧宝卷</v>
      </c>
      <c r="G150" s="1">
        <f>IFERROR(__xludf.DUMMYFUNCTION("""COMPUTED_VALUE"""),498.0)</f>
        <v>498</v>
      </c>
      <c r="H150" s="1">
        <f>IFERROR(__xludf.DUMMYFUNCTION("""COMPUTED_VALUE"""),9.0)</f>
        <v>9</v>
      </c>
      <c r="I150" s="1">
        <f>IFERROR(__xludf.DUMMYFUNCTION("""COMPUTED_VALUE"""),1.0)</f>
        <v>1</v>
      </c>
      <c r="J150" s="1">
        <f>IFERROR(__xludf.DUMMYFUNCTION("""COMPUTED_VALUE"""),501.0)</f>
        <v>501</v>
      </c>
      <c r="K150" s="1">
        <f>IFERROR(__xludf.DUMMYFUNCTION("""COMPUTED_VALUE"""),12.0)</f>
        <v>12</v>
      </c>
      <c r="L150" s="1">
        <f>IFERROR(__xludf.DUMMYFUNCTION("""COMPUTED_VALUE"""),31.0)</f>
        <v>31</v>
      </c>
      <c r="M150" s="1" t="str">
        <f>IFERROR(__xludf.DUMMYFUNCTION("""COMPUTED_VALUE"""),"3年121天")</f>
        <v>3年121天</v>
      </c>
      <c r="N150" s="1" t="str">
        <f>IFERROR(__xludf.DUMMYFUNCTION("""COMPUTED_VALUE"""),"继承")</f>
        <v>继承</v>
      </c>
      <c r="O150" s="1" t="str">
        <f>IFERROR(__xludf.DUMMYFUNCTION("""COMPUTED_VALUE"""),"被弑")</f>
        <v>被弑</v>
      </c>
    </row>
    <row r="151">
      <c r="A151" s="1" t="str">
        <f>IFERROR(__xludf.DUMMYFUNCTION("SPLIT(CSV!A:A,"","")"),"北魏")</f>
        <v>北魏</v>
      </c>
      <c r="B151" s="1">
        <f>IFERROR(__xludf.DUMMYFUNCTION("""COMPUTED_VALUE"""),8.0)</f>
        <v>8</v>
      </c>
      <c r="C151" s="1" t="str">
        <f>IFERROR(__xludf.DUMMYFUNCTION("""COMPUTED_VALUE"""),"世宗")</f>
        <v>世宗</v>
      </c>
      <c r="D151" s="1" t="str">
        <f>IFERROR(__xludf.DUMMYFUNCTION("""COMPUTED_VALUE"""),"宣武皇帝")</f>
        <v>宣武皇帝</v>
      </c>
      <c r="E151" s="1" t="str">
        <f>IFERROR(__xludf.DUMMYFUNCTION("""COMPUTED_VALUE"""),"魏宣武帝")</f>
        <v>魏宣武帝</v>
      </c>
      <c r="F151" s="1" t="str">
        <f>IFERROR(__xludf.DUMMYFUNCTION("""COMPUTED_VALUE"""),"元恪")</f>
        <v>元恪</v>
      </c>
      <c r="G151" s="1">
        <f>IFERROR(__xludf.DUMMYFUNCTION("""COMPUTED_VALUE"""),499.0)</f>
        <v>499</v>
      </c>
      <c r="H151" s="1">
        <f>IFERROR(__xludf.DUMMYFUNCTION("""COMPUTED_VALUE"""),4.0)</f>
        <v>4</v>
      </c>
      <c r="I151" s="1">
        <f>IFERROR(__xludf.DUMMYFUNCTION("""COMPUTED_VALUE"""),26.0)</f>
        <v>26</v>
      </c>
      <c r="J151" s="1">
        <f>IFERROR(__xludf.DUMMYFUNCTION("""COMPUTED_VALUE"""),515.0)</f>
        <v>515</v>
      </c>
      <c r="K151" s="1">
        <f>IFERROR(__xludf.DUMMYFUNCTION("""COMPUTED_VALUE"""),2.0)</f>
        <v>2</v>
      </c>
      <c r="L151" s="1">
        <f>IFERROR(__xludf.DUMMYFUNCTION("""COMPUTED_VALUE"""),12.0)</f>
        <v>12</v>
      </c>
      <c r="M151" s="1" t="str">
        <f>IFERROR(__xludf.DUMMYFUNCTION("""COMPUTED_VALUE"""),"15年292天")</f>
        <v>15年292天</v>
      </c>
      <c r="N151" s="1" t="str">
        <f>IFERROR(__xludf.DUMMYFUNCTION("""COMPUTED_VALUE"""),"继承")</f>
        <v>继承</v>
      </c>
      <c r="O151" s="1" t="str">
        <f>IFERROR(__xludf.DUMMYFUNCTION("""COMPUTED_VALUE"""),"元宏次子")</f>
        <v>元宏次子</v>
      </c>
    </row>
    <row r="152">
      <c r="A152" s="1" t="str">
        <f>IFERROR(__xludf.DUMMYFUNCTION("SPLIT(CSV!A:A,"","")"),"南齐")</f>
        <v>南齐</v>
      </c>
      <c r="B152" s="1">
        <f>IFERROR(__xludf.DUMMYFUNCTION("""COMPUTED_VALUE"""),7.0)</f>
        <v>7</v>
      </c>
      <c r="C152" s="1" t="str">
        <f>IFERROR(__xludf.DUMMYFUNCTION("""COMPUTED_VALUE"""),"-")</f>
        <v>-</v>
      </c>
      <c r="D152" s="1" t="str">
        <f>IFERROR(__xludf.DUMMYFUNCTION("""COMPUTED_VALUE"""),"和皇帝")</f>
        <v>和皇帝</v>
      </c>
      <c r="E152" s="1" t="str">
        <f>IFERROR(__xludf.DUMMYFUNCTION("""COMPUTED_VALUE"""),"齐和帝")</f>
        <v>齐和帝</v>
      </c>
      <c r="F152" s="1" t="str">
        <f>IFERROR(__xludf.DUMMYFUNCTION("""COMPUTED_VALUE"""),"萧宝融")</f>
        <v>萧宝融</v>
      </c>
      <c r="G152" s="1">
        <f>IFERROR(__xludf.DUMMYFUNCTION("""COMPUTED_VALUE"""),501.0)</f>
        <v>501</v>
      </c>
      <c r="H152" s="1">
        <f>IFERROR(__xludf.DUMMYFUNCTION("""COMPUTED_VALUE"""),12.0)</f>
        <v>12</v>
      </c>
      <c r="I152" s="1">
        <f>IFERROR(__xludf.DUMMYFUNCTION("""COMPUTED_VALUE"""),31.0)</f>
        <v>31</v>
      </c>
      <c r="J152" s="1">
        <f>IFERROR(__xludf.DUMMYFUNCTION("""COMPUTED_VALUE"""),502.0)</f>
        <v>502</v>
      </c>
      <c r="K152" s="1">
        <f>IFERROR(__xludf.DUMMYFUNCTION("""COMPUTED_VALUE"""),5.0)</f>
        <v>5</v>
      </c>
      <c r="L152" s="1">
        <f>IFERROR(__xludf.DUMMYFUNCTION("""COMPUTED_VALUE"""),26.0)</f>
        <v>26</v>
      </c>
      <c r="M152" s="1" t="str">
        <f>IFERROR(__xludf.DUMMYFUNCTION("""COMPUTED_VALUE"""),"1年146天")</f>
        <v>1年146天</v>
      </c>
      <c r="N152" s="1" t="str">
        <f>IFERROR(__xludf.DUMMYFUNCTION("""COMPUTED_VALUE"""),"政变")</f>
        <v>政变</v>
      </c>
      <c r="O152" s="1" t="str">
        <f>IFERROR(__xludf.DUMMYFUNCTION("""COMPUTED_VALUE"""),"被迫禅让于萧衍")</f>
        <v>被迫禅让于萧衍</v>
      </c>
    </row>
    <row r="153">
      <c r="A153" s="1" t="str">
        <f>IFERROR(__xludf.DUMMYFUNCTION("SPLIT(CSV!A:A,"","")"),"南梁")</f>
        <v>南梁</v>
      </c>
      <c r="B153" s="1">
        <f>IFERROR(__xludf.DUMMYFUNCTION("""COMPUTED_VALUE"""),1.0)</f>
        <v>1</v>
      </c>
      <c r="C153" s="1" t="str">
        <f>IFERROR(__xludf.DUMMYFUNCTION("""COMPUTED_VALUE"""),"高祖")</f>
        <v>高祖</v>
      </c>
      <c r="D153" s="1" t="str">
        <f>IFERROR(__xludf.DUMMYFUNCTION("""COMPUTED_VALUE"""),"武皇帝")</f>
        <v>武皇帝</v>
      </c>
      <c r="E153" s="1" t="str">
        <f>IFERROR(__xludf.DUMMYFUNCTION("""COMPUTED_VALUE"""),"梁武帝")</f>
        <v>梁武帝</v>
      </c>
      <c r="F153" s="1" t="str">
        <f>IFERROR(__xludf.DUMMYFUNCTION("""COMPUTED_VALUE"""),"萧衍")</f>
        <v>萧衍</v>
      </c>
      <c r="G153" s="1">
        <f>IFERROR(__xludf.DUMMYFUNCTION("""COMPUTED_VALUE"""),502.0)</f>
        <v>502</v>
      </c>
      <c r="H153" s="1">
        <f>IFERROR(__xludf.DUMMYFUNCTION("""COMPUTED_VALUE"""),5.0)</f>
        <v>5</v>
      </c>
      <c r="I153" s="1">
        <f>IFERROR(__xludf.DUMMYFUNCTION("""COMPUTED_VALUE"""),26.0)</f>
        <v>26</v>
      </c>
      <c r="J153" s="1">
        <f>IFERROR(__xludf.DUMMYFUNCTION("""COMPUTED_VALUE"""),549.0)</f>
        <v>549</v>
      </c>
      <c r="K153" s="1">
        <f>IFERROR(__xludf.DUMMYFUNCTION("""COMPUTED_VALUE"""),6.0)</f>
        <v>6</v>
      </c>
      <c r="L153" s="1">
        <f>IFERROR(__xludf.DUMMYFUNCTION("""COMPUTED_VALUE"""),12.0)</f>
        <v>12</v>
      </c>
      <c r="M153" s="1" t="str">
        <f>IFERROR(__xludf.DUMMYFUNCTION("""COMPUTED_VALUE"""),"47年17天")</f>
        <v>47年17天</v>
      </c>
      <c r="N153" s="1" t="str">
        <f>IFERROR(__xludf.DUMMYFUNCTION("""COMPUTED_VALUE"""),"受禅")</f>
        <v>受禅</v>
      </c>
      <c r="O153" s="1" t="str">
        <f>IFERROR(__xludf.DUMMYFUNCTION("""COMPUTED_VALUE"""),"受齐和帝禅让，侯景之乱中被困饿死")</f>
        <v>受齐和帝禅让，侯景之乱中被困饿死</v>
      </c>
    </row>
    <row r="154">
      <c r="A154" s="1" t="str">
        <f>IFERROR(__xludf.DUMMYFUNCTION("SPLIT(CSV!A:A,"","")"),"北魏")</f>
        <v>北魏</v>
      </c>
      <c r="B154" s="1">
        <f>IFERROR(__xludf.DUMMYFUNCTION("""COMPUTED_VALUE"""),9.0)</f>
        <v>9</v>
      </c>
      <c r="C154" s="1" t="str">
        <f>IFERROR(__xludf.DUMMYFUNCTION("""COMPUTED_VALUE"""),"肃宗")</f>
        <v>肃宗</v>
      </c>
      <c r="D154" s="1" t="str">
        <f>IFERROR(__xludf.DUMMYFUNCTION("""COMPUTED_VALUE"""),"孝明皇帝")</f>
        <v>孝明皇帝</v>
      </c>
      <c r="E154" s="1" t="str">
        <f>IFERROR(__xludf.DUMMYFUNCTION("""COMPUTED_VALUE"""),"魏孝明帝")</f>
        <v>魏孝明帝</v>
      </c>
      <c r="F154" s="1" t="str">
        <f>IFERROR(__xludf.DUMMYFUNCTION("""COMPUTED_VALUE"""),"元诩")</f>
        <v>元诩</v>
      </c>
      <c r="G154" s="1">
        <f>IFERROR(__xludf.DUMMYFUNCTION("""COMPUTED_VALUE"""),515.0)</f>
        <v>515</v>
      </c>
      <c r="H154" s="1">
        <f>IFERROR(__xludf.DUMMYFUNCTION("""COMPUTED_VALUE"""),2.0)</f>
        <v>2</v>
      </c>
      <c r="I154" s="1">
        <f>IFERROR(__xludf.DUMMYFUNCTION("""COMPUTED_VALUE"""),12.0)</f>
        <v>12</v>
      </c>
      <c r="J154" s="1">
        <f>IFERROR(__xludf.DUMMYFUNCTION("""COMPUTED_VALUE"""),528.0)</f>
        <v>528</v>
      </c>
      <c r="K154" s="1">
        <f>IFERROR(__xludf.DUMMYFUNCTION("""COMPUTED_VALUE"""),3.0)</f>
        <v>3</v>
      </c>
      <c r="L154" s="1">
        <f>IFERROR(__xludf.DUMMYFUNCTION("""COMPUTED_VALUE"""),31.0)</f>
        <v>31</v>
      </c>
      <c r="M154" s="1" t="str">
        <f>IFERROR(__xludf.DUMMYFUNCTION("""COMPUTED_VALUE"""),"13年47天")</f>
        <v>13年47天</v>
      </c>
      <c r="N154" s="1" t="str">
        <f>IFERROR(__xludf.DUMMYFUNCTION("""COMPUTED_VALUE"""),"继承")</f>
        <v>继承</v>
      </c>
      <c r="O154" s="1" t="str">
        <f>IFERROR(__xludf.DUMMYFUNCTION("""COMPUTED_VALUE"""),"元恪次子")</f>
        <v>元恪次子</v>
      </c>
    </row>
    <row r="155">
      <c r="A155" s="1" t="str">
        <f>IFERROR(__xludf.DUMMYFUNCTION("SPLIT(CSV!A:A,"","")"),"北魏")</f>
        <v>北魏</v>
      </c>
      <c r="B155" s="1">
        <f>IFERROR(__xludf.DUMMYFUNCTION("""COMPUTED_VALUE"""),10.0)</f>
        <v>10</v>
      </c>
      <c r="C155" s="1" t="str">
        <f>IFERROR(__xludf.DUMMYFUNCTION("""COMPUTED_VALUE"""),"-")</f>
        <v>-</v>
      </c>
      <c r="D155" s="1" t="str">
        <f>IFERROR(__xludf.DUMMYFUNCTION("""COMPUTED_VALUE"""),"孝庄皇帝")</f>
        <v>孝庄皇帝</v>
      </c>
      <c r="E155" s="1" t="str">
        <f>IFERROR(__xludf.DUMMYFUNCTION("""COMPUTED_VALUE"""),"魏孝庄帝")</f>
        <v>魏孝庄帝</v>
      </c>
      <c r="F155" s="1" t="str">
        <f>IFERROR(__xludf.DUMMYFUNCTION("""COMPUTED_VALUE"""),"元子攸")</f>
        <v>元子攸</v>
      </c>
      <c r="G155" s="1">
        <f>IFERROR(__xludf.DUMMYFUNCTION("""COMPUTED_VALUE"""),528.0)</f>
        <v>528</v>
      </c>
      <c r="H155" s="1">
        <f>IFERROR(__xludf.DUMMYFUNCTION("""COMPUTED_VALUE"""),4.0)</f>
        <v>4</v>
      </c>
      <c r="I155" s="1">
        <f>IFERROR(__xludf.DUMMYFUNCTION("""COMPUTED_VALUE"""),9.0)</f>
        <v>9</v>
      </c>
      <c r="J155" s="1">
        <f>IFERROR(__xludf.DUMMYFUNCTION("""COMPUTED_VALUE"""),530.0)</f>
        <v>530</v>
      </c>
      <c r="K155" s="1">
        <f>IFERROR(__xludf.DUMMYFUNCTION("""COMPUTED_VALUE"""),12.0)</f>
        <v>12</v>
      </c>
      <c r="L155" s="1">
        <f>IFERROR(__xludf.DUMMYFUNCTION("""COMPUTED_VALUE"""),26.0)</f>
        <v>26</v>
      </c>
      <c r="M155" s="1" t="str">
        <f>IFERROR(__xludf.DUMMYFUNCTION("""COMPUTED_VALUE"""),"2年261天")</f>
        <v>2年261天</v>
      </c>
      <c r="N155" s="1" t="str">
        <f>IFERROR(__xludf.DUMMYFUNCTION("""COMPUTED_VALUE"""),"政变")</f>
        <v>政变</v>
      </c>
      <c r="O155" s="1" t="str">
        <f>IFERROR(__xludf.DUMMYFUNCTION("""COMPUTED_VALUE"""),"尔朱荣所立")</f>
        <v>尔朱荣所立</v>
      </c>
    </row>
    <row r="156">
      <c r="A156" s="1" t="str">
        <f>IFERROR(__xludf.DUMMYFUNCTION("SPLIT(CSV!A:A,"","")"),"北魏")</f>
        <v>北魏</v>
      </c>
      <c r="B156" s="1">
        <f>IFERROR(__xludf.DUMMYFUNCTION("""COMPUTED_VALUE"""),11.0)</f>
        <v>11</v>
      </c>
      <c r="C156" s="1" t="str">
        <f>IFERROR(__xludf.DUMMYFUNCTION("""COMPUTED_VALUE"""),"-")</f>
        <v>-</v>
      </c>
      <c r="D156" s="1" t="str">
        <f>IFERROR(__xludf.DUMMYFUNCTION("""COMPUTED_VALUE"""),"-")</f>
        <v>-</v>
      </c>
      <c r="E156" s="1" t="str">
        <f>IFERROR(__xludf.DUMMYFUNCTION("""COMPUTED_VALUE"""),"长广王")</f>
        <v>长广王</v>
      </c>
      <c r="F156" s="1" t="str">
        <f>IFERROR(__xludf.DUMMYFUNCTION("""COMPUTED_VALUE"""),"元晔")</f>
        <v>元晔</v>
      </c>
      <c r="G156" s="1">
        <f>IFERROR(__xludf.DUMMYFUNCTION("""COMPUTED_VALUE"""),530.0)</f>
        <v>530</v>
      </c>
      <c r="H156" s="1">
        <f>IFERROR(__xludf.DUMMYFUNCTION("""COMPUTED_VALUE"""),12.0)</f>
        <v>12</v>
      </c>
      <c r="I156" s="1">
        <f>IFERROR(__xludf.DUMMYFUNCTION("""COMPUTED_VALUE"""),26.0)</f>
        <v>26</v>
      </c>
      <c r="J156" s="1">
        <f>IFERROR(__xludf.DUMMYFUNCTION("""COMPUTED_VALUE"""),531.0)</f>
        <v>531</v>
      </c>
      <c r="K156" s="1">
        <f>IFERROR(__xludf.DUMMYFUNCTION("""COMPUTED_VALUE"""),3.0)</f>
        <v>3</v>
      </c>
      <c r="L156" s="1">
        <f>IFERROR(__xludf.DUMMYFUNCTION("""COMPUTED_VALUE"""),31.0)</f>
        <v>31</v>
      </c>
      <c r="M156" s="1" t="str">
        <f>IFERROR(__xludf.DUMMYFUNCTION("""COMPUTED_VALUE"""),"95天")</f>
        <v>95天</v>
      </c>
      <c r="N156" s="1" t="str">
        <f>IFERROR(__xludf.DUMMYFUNCTION("""COMPUTED_VALUE"""),"篡立")</f>
        <v>篡立</v>
      </c>
      <c r="O156" s="1" t="str">
        <f>IFERROR(__xludf.DUMMYFUNCTION("""COMPUTED_VALUE"""),"尔朱兆所立")</f>
        <v>尔朱兆所立</v>
      </c>
    </row>
    <row r="157">
      <c r="A157" s="1" t="str">
        <f>IFERROR(__xludf.DUMMYFUNCTION("SPLIT(CSV!A:A,"","")"),"北魏")</f>
        <v>北魏</v>
      </c>
      <c r="B157" s="1">
        <f>IFERROR(__xludf.DUMMYFUNCTION("""COMPUTED_VALUE"""),12.0)</f>
        <v>12</v>
      </c>
      <c r="C157" s="1" t="str">
        <f>IFERROR(__xludf.DUMMYFUNCTION("""COMPUTED_VALUE"""),"-")</f>
        <v>-</v>
      </c>
      <c r="D157" s="1" t="str">
        <f>IFERROR(__xludf.DUMMYFUNCTION("""COMPUTED_VALUE"""),"节闵皇帝")</f>
        <v>节闵皇帝</v>
      </c>
      <c r="E157" s="1" t="str">
        <f>IFERROR(__xludf.DUMMYFUNCTION("""COMPUTED_VALUE"""),"魏节闵帝")</f>
        <v>魏节闵帝</v>
      </c>
      <c r="F157" s="1" t="str">
        <f>IFERROR(__xludf.DUMMYFUNCTION("""COMPUTED_VALUE"""),"元恭")</f>
        <v>元恭</v>
      </c>
      <c r="G157" s="1">
        <f>IFERROR(__xludf.DUMMYFUNCTION("""COMPUTED_VALUE"""),531.0)</f>
        <v>531</v>
      </c>
      <c r="H157" s="1">
        <f>IFERROR(__xludf.DUMMYFUNCTION("""COMPUTED_VALUE"""),4.0)</f>
        <v>4</v>
      </c>
      <c r="I157" s="1">
        <f>IFERROR(__xludf.DUMMYFUNCTION("""COMPUTED_VALUE"""),1.0)</f>
        <v>1</v>
      </c>
      <c r="J157" s="1">
        <f>IFERROR(__xludf.DUMMYFUNCTION("""COMPUTED_VALUE"""),531.0)</f>
        <v>531</v>
      </c>
      <c r="K157" s="1">
        <f>IFERROR(__xludf.DUMMYFUNCTION("""COMPUTED_VALUE"""),12.0)</f>
        <v>12</v>
      </c>
      <c r="L157" s="1">
        <f>IFERROR(__xludf.DUMMYFUNCTION("""COMPUTED_VALUE"""),31.0)</f>
        <v>31</v>
      </c>
      <c r="M157" s="1" t="str">
        <f>IFERROR(__xludf.DUMMYFUNCTION("""COMPUTED_VALUE"""),"275天")</f>
        <v>275天</v>
      </c>
      <c r="N157" s="1" t="str">
        <f>IFERROR(__xludf.DUMMYFUNCTION("""COMPUTED_VALUE"""),"篡立")</f>
        <v>篡立</v>
      </c>
      <c r="O157" s="1" t="str">
        <f>IFERROR(__xludf.DUMMYFUNCTION("""COMPUTED_VALUE"""),"尔朱世隆所立")</f>
        <v>尔朱世隆所立</v>
      </c>
    </row>
    <row r="158">
      <c r="A158" s="1" t="str">
        <f>IFERROR(__xludf.DUMMYFUNCTION("SPLIT(CSV!A:A,"","")"),"北魏")</f>
        <v>北魏</v>
      </c>
      <c r="B158" s="1">
        <f>IFERROR(__xludf.DUMMYFUNCTION("""COMPUTED_VALUE"""),13.0)</f>
        <v>13</v>
      </c>
      <c r="C158" s="1" t="str">
        <f>IFERROR(__xludf.DUMMYFUNCTION("""COMPUTED_VALUE"""),"-")</f>
        <v>-</v>
      </c>
      <c r="D158" s="1" t="str">
        <f>IFERROR(__xludf.DUMMYFUNCTION("""COMPUTED_VALUE"""),"-")</f>
        <v>-</v>
      </c>
      <c r="E158" s="1" t="str">
        <f>IFERROR(__xludf.DUMMYFUNCTION("""COMPUTED_VALUE"""),"安定王")</f>
        <v>安定王</v>
      </c>
      <c r="F158" s="1" t="str">
        <f>IFERROR(__xludf.DUMMYFUNCTION("""COMPUTED_VALUE"""),"元朗")</f>
        <v>元朗</v>
      </c>
      <c r="G158" s="1">
        <f>IFERROR(__xludf.DUMMYFUNCTION("""COMPUTED_VALUE"""),531.0)</f>
        <v>531</v>
      </c>
      <c r="H158" s="1">
        <f>IFERROR(__xludf.DUMMYFUNCTION("""COMPUTED_VALUE"""),10.0)</f>
        <v>10</v>
      </c>
      <c r="I158" s="1">
        <f>IFERROR(__xludf.DUMMYFUNCTION("""COMPUTED_VALUE"""),30.0)</f>
        <v>30</v>
      </c>
      <c r="J158" s="1">
        <f>IFERROR(__xludf.DUMMYFUNCTION("""COMPUTED_VALUE"""),532.0)</f>
        <v>532</v>
      </c>
      <c r="K158" s="1">
        <f>IFERROR(__xludf.DUMMYFUNCTION("""COMPUTED_VALUE"""),6.0)</f>
        <v>6</v>
      </c>
      <c r="L158" s="1">
        <f>IFERROR(__xludf.DUMMYFUNCTION("""COMPUTED_VALUE"""),13.0)</f>
        <v>13</v>
      </c>
      <c r="M158" s="1" t="str">
        <f>IFERROR(__xludf.DUMMYFUNCTION("""COMPUTED_VALUE"""),"227天")</f>
        <v>227天</v>
      </c>
      <c r="N158" s="1" t="str">
        <f>IFERROR(__xludf.DUMMYFUNCTION("""COMPUTED_VALUE"""),"篡立")</f>
        <v>篡立</v>
      </c>
      <c r="O158" s="1" t="str">
        <f>IFERROR(__xludf.DUMMYFUNCTION("""COMPUTED_VALUE"""),"高欢所立")</f>
        <v>高欢所立</v>
      </c>
    </row>
    <row r="159">
      <c r="A159" s="1" t="str">
        <f>IFERROR(__xludf.DUMMYFUNCTION("SPLIT(CSV!A:A,"","")"),"北魏")</f>
        <v>北魏</v>
      </c>
      <c r="B159" s="1">
        <f>IFERROR(__xludf.DUMMYFUNCTION("""COMPUTED_VALUE"""),14.0)</f>
        <v>14</v>
      </c>
      <c r="C159" s="1" t="str">
        <f>IFERROR(__xludf.DUMMYFUNCTION("""COMPUTED_VALUE"""),"-")</f>
        <v>-</v>
      </c>
      <c r="D159" s="1" t="str">
        <f>IFERROR(__xludf.DUMMYFUNCTION("""COMPUTED_VALUE"""),"孝武皇帝")</f>
        <v>孝武皇帝</v>
      </c>
      <c r="E159" s="1" t="str">
        <f>IFERROR(__xludf.DUMMYFUNCTION("""COMPUTED_VALUE"""),"魏孝武帝")</f>
        <v>魏孝武帝</v>
      </c>
      <c r="F159" s="1" t="str">
        <f>IFERROR(__xludf.DUMMYFUNCTION("""COMPUTED_VALUE"""),"元修")</f>
        <v>元修</v>
      </c>
      <c r="G159" s="1">
        <f>IFERROR(__xludf.DUMMYFUNCTION("""COMPUTED_VALUE"""),532.0)</f>
        <v>532</v>
      </c>
      <c r="H159" s="1">
        <f>IFERROR(__xludf.DUMMYFUNCTION("""COMPUTED_VALUE"""),6.0)</f>
        <v>6</v>
      </c>
      <c r="I159" s="1">
        <f>IFERROR(__xludf.DUMMYFUNCTION("""COMPUTED_VALUE"""),13.0)</f>
        <v>13</v>
      </c>
      <c r="J159" s="1">
        <f>IFERROR(__xludf.DUMMYFUNCTION("""COMPUTED_VALUE"""),534.0)</f>
        <v>534</v>
      </c>
      <c r="K159" s="1">
        <f>IFERROR(__xludf.DUMMYFUNCTION("""COMPUTED_VALUE"""),11.0)</f>
        <v>11</v>
      </c>
      <c r="L159" s="1">
        <f>IFERROR(__xludf.DUMMYFUNCTION("""COMPUTED_VALUE"""),8.0)</f>
        <v>8</v>
      </c>
      <c r="M159" s="1" t="str">
        <f>IFERROR(__xludf.DUMMYFUNCTION("""COMPUTED_VALUE"""),"2年148天")</f>
        <v>2年148天</v>
      </c>
      <c r="N159" s="1" t="str">
        <f>IFERROR(__xludf.DUMMYFUNCTION("""COMPUTED_VALUE"""),"篡立")</f>
        <v>篡立</v>
      </c>
      <c r="O159" s="1" t="str">
        <f>IFERROR(__xludf.DUMMYFUNCTION("""COMPUTED_VALUE"""),"高欢废元朗后立")</f>
        <v>高欢废元朗后立</v>
      </c>
    </row>
    <row r="160">
      <c r="A160" s="1" t="str">
        <f>IFERROR(__xludf.DUMMYFUNCTION("SPLIT(CSV!A:A,"","")"),"东魏")</f>
        <v>东魏</v>
      </c>
      <c r="B160" s="1">
        <f>IFERROR(__xludf.DUMMYFUNCTION("""COMPUTED_VALUE"""),1.0)</f>
        <v>1</v>
      </c>
      <c r="C160" s="1" t="str">
        <f>IFERROR(__xludf.DUMMYFUNCTION("""COMPUTED_VALUE"""),"-")</f>
        <v>-</v>
      </c>
      <c r="D160" s="1" t="str">
        <f>IFERROR(__xludf.DUMMYFUNCTION("""COMPUTED_VALUE"""),"孝静皇帝")</f>
        <v>孝静皇帝</v>
      </c>
      <c r="E160" s="1" t="str">
        <f>IFERROR(__xludf.DUMMYFUNCTION("""COMPUTED_VALUE"""),"东魏孝静帝")</f>
        <v>东魏孝静帝</v>
      </c>
      <c r="F160" s="1" t="str">
        <f>IFERROR(__xludf.DUMMYFUNCTION("""COMPUTED_VALUE"""),"元善见")</f>
        <v>元善见</v>
      </c>
      <c r="G160" s="1">
        <f>IFERROR(__xludf.DUMMYFUNCTION("""COMPUTED_VALUE"""),534.0)</f>
        <v>534</v>
      </c>
      <c r="H160" s="1">
        <f>IFERROR(__xludf.DUMMYFUNCTION("""COMPUTED_VALUE"""),11.0)</f>
        <v>11</v>
      </c>
      <c r="I160" s="1">
        <f>IFERROR(__xludf.DUMMYFUNCTION("""COMPUTED_VALUE"""),8.0)</f>
        <v>8</v>
      </c>
      <c r="J160" s="1">
        <f>IFERROR(__xludf.DUMMYFUNCTION("""COMPUTED_VALUE"""),550.0)</f>
        <v>550</v>
      </c>
      <c r="K160" s="1">
        <f>IFERROR(__xludf.DUMMYFUNCTION("""COMPUTED_VALUE"""),6.0)</f>
        <v>6</v>
      </c>
      <c r="L160" s="1">
        <f>IFERROR(__xludf.DUMMYFUNCTION("""COMPUTED_VALUE"""),9.0)</f>
        <v>9</v>
      </c>
      <c r="M160" s="1" t="str">
        <f>IFERROR(__xludf.DUMMYFUNCTION("""COMPUTED_VALUE"""),"15年213天")</f>
        <v>15年213天</v>
      </c>
      <c r="N160" s="1" t="str">
        <f>IFERROR(__xludf.DUMMYFUNCTION("""COMPUTED_VALUE"""),"篡立")</f>
        <v>篡立</v>
      </c>
      <c r="O160" s="1" t="str">
        <f>IFERROR(__xludf.DUMMYFUNCTION("""COMPUTED_VALUE"""),"高欢立，北魏分裂")</f>
        <v>高欢立，北魏分裂</v>
      </c>
    </row>
    <row r="161">
      <c r="A161" s="1" t="str">
        <f>IFERROR(__xludf.DUMMYFUNCTION("SPLIT(CSV!A:A,"","")"),"西魏")</f>
        <v>西魏</v>
      </c>
      <c r="B161" s="1">
        <f>IFERROR(__xludf.DUMMYFUNCTION("""COMPUTED_VALUE"""),1.0)</f>
        <v>1</v>
      </c>
      <c r="C161" s="1" t="str">
        <f>IFERROR(__xludf.DUMMYFUNCTION("""COMPUTED_VALUE"""),"-")</f>
        <v>-</v>
      </c>
      <c r="D161" s="1" t="str">
        <f>IFERROR(__xludf.DUMMYFUNCTION("""COMPUTED_VALUE"""),"文皇帝")</f>
        <v>文皇帝</v>
      </c>
      <c r="E161" s="1" t="str">
        <f>IFERROR(__xludf.DUMMYFUNCTION("""COMPUTED_VALUE"""),"西魏文帝")</f>
        <v>西魏文帝</v>
      </c>
      <c r="F161" s="1" t="str">
        <f>IFERROR(__xludf.DUMMYFUNCTION("""COMPUTED_VALUE"""),"元宝炬")</f>
        <v>元宝炬</v>
      </c>
      <c r="G161" s="1">
        <f>IFERROR(__xludf.DUMMYFUNCTION("""COMPUTED_VALUE"""),535.0)</f>
        <v>535</v>
      </c>
      <c r="H161" s="1">
        <f>IFERROR(__xludf.DUMMYFUNCTION("""COMPUTED_VALUE"""),2.0)</f>
        <v>2</v>
      </c>
      <c r="I161" s="1">
        <f>IFERROR(__xludf.DUMMYFUNCTION("""COMPUTED_VALUE"""),18.0)</f>
        <v>18</v>
      </c>
      <c r="J161" s="1">
        <f>IFERROR(__xludf.DUMMYFUNCTION("""COMPUTED_VALUE"""),551.0)</f>
        <v>551</v>
      </c>
      <c r="K161" s="1">
        <f>IFERROR(__xludf.DUMMYFUNCTION("""COMPUTED_VALUE"""),3.0)</f>
        <v>3</v>
      </c>
      <c r="L161" s="1">
        <f>IFERROR(__xludf.DUMMYFUNCTION("""COMPUTED_VALUE"""),28.0)</f>
        <v>28</v>
      </c>
      <c r="M161" s="1" t="str">
        <f>IFERROR(__xludf.DUMMYFUNCTION("""COMPUTED_VALUE"""),"16年38天")</f>
        <v>16年38天</v>
      </c>
      <c r="N161" s="1" t="str">
        <f>IFERROR(__xludf.DUMMYFUNCTION("""COMPUTED_VALUE"""),"篡立")</f>
        <v>篡立</v>
      </c>
      <c r="O161" s="1" t="str">
        <f>IFERROR(__xludf.DUMMYFUNCTION("""COMPUTED_VALUE"""),"宇文泰所立")</f>
        <v>宇文泰所立</v>
      </c>
    </row>
    <row r="162">
      <c r="A162" s="1" t="str">
        <f>IFERROR(__xludf.DUMMYFUNCTION("SPLIT(CSV!A:A,"","")"),"南梁")</f>
        <v>南梁</v>
      </c>
      <c r="B162" s="1">
        <f>IFERROR(__xludf.DUMMYFUNCTION("""COMPUTED_VALUE"""),2.0)</f>
        <v>2</v>
      </c>
      <c r="C162" s="1" t="str">
        <f>IFERROR(__xludf.DUMMYFUNCTION("""COMPUTED_VALUE"""),"太宗")</f>
        <v>太宗</v>
      </c>
      <c r="D162" s="1" t="str">
        <f>IFERROR(__xludf.DUMMYFUNCTION("""COMPUTED_VALUE"""),"简文皇帝")</f>
        <v>简文皇帝</v>
      </c>
      <c r="E162" s="1" t="str">
        <f>IFERROR(__xludf.DUMMYFUNCTION("""COMPUTED_VALUE"""),"梁简文帝")</f>
        <v>梁简文帝</v>
      </c>
      <c r="F162" s="1" t="str">
        <f>IFERROR(__xludf.DUMMYFUNCTION("""COMPUTED_VALUE"""),"萧纲")</f>
        <v>萧纲</v>
      </c>
      <c r="G162" s="1">
        <f>IFERROR(__xludf.DUMMYFUNCTION("""COMPUTED_VALUE"""),549.0)</f>
        <v>549</v>
      </c>
      <c r="H162" s="1">
        <f>IFERROR(__xludf.DUMMYFUNCTION("""COMPUTED_VALUE"""),6.0)</f>
        <v>6</v>
      </c>
      <c r="I162" s="1">
        <f>IFERROR(__xludf.DUMMYFUNCTION("""COMPUTED_VALUE"""),12.0)</f>
        <v>12</v>
      </c>
      <c r="J162" s="1">
        <f>IFERROR(__xludf.DUMMYFUNCTION("""COMPUTED_VALUE"""),551.0)</f>
        <v>551</v>
      </c>
      <c r="K162" s="1">
        <f>IFERROR(__xludf.DUMMYFUNCTION("""COMPUTED_VALUE"""),10.0)</f>
        <v>10</v>
      </c>
      <c r="L162" s="1">
        <f>IFERROR(__xludf.DUMMYFUNCTION("""COMPUTED_VALUE"""),2.0)</f>
        <v>2</v>
      </c>
      <c r="M162" s="1" t="str">
        <f>IFERROR(__xludf.DUMMYFUNCTION("""COMPUTED_VALUE"""),"2年112天")</f>
        <v>2年112天</v>
      </c>
      <c r="N162" s="1" t="str">
        <f>IFERROR(__xludf.DUMMYFUNCTION("""COMPUTED_VALUE"""),"篡立")</f>
        <v>篡立</v>
      </c>
      <c r="O162" s="1" t="str">
        <f>IFERROR(__xludf.DUMMYFUNCTION("""COMPUTED_VALUE"""),"侯景所立，后被废杀")</f>
        <v>侯景所立，后被废杀</v>
      </c>
    </row>
    <row r="163">
      <c r="A163" s="1" t="str">
        <f>IFERROR(__xludf.DUMMYFUNCTION("SPLIT(CSV!A:A,"","")"),"北齐")</f>
        <v>北齐</v>
      </c>
      <c r="B163" s="1">
        <f>IFERROR(__xludf.DUMMYFUNCTION("""COMPUTED_VALUE"""),1.0)</f>
        <v>1</v>
      </c>
      <c r="C163" s="1" t="str">
        <f>IFERROR(__xludf.DUMMYFUNCTION("""COMPUTED_VALUE"""),"显祖")</f>
        <v>显祖</v>
      </c>
      <c r="D163" s="1" t="str">
        <f>IFERROR(__xludf.DUMMYFUNCTION("""COMPUTED_VALUE"""),"文宣皇帝")</f>
        <v>文宣皇帝</v>
      </c>
      <c r="E163" s="1" t="str">
        <f>IFERROR(__xludf.DUMMYFUNCTION("""COMPUTED_VALUE"""),"北齐文宣帝")</f>
        <v>北齐文宣帝</v>
      </c>
      <c r="F163" s="1" t="str">
        <f>IFERROR(__xludf.DUMMYFUNCTION("""COMPUTED_VALUE"""),"高洋")</f>
        <v>高洋</v>
      </c>
      <c r="G163" s="1">
        <f>IFERROR(__xludf.DUMMYFUNCTION("""COMPUTED_VALUE"""),550.0)</f>
        <v>550</v>
      </c>
      <c r="H163" s="1">
        <f>IFERROR(__xludf.DUMMYFUNCTION("""COMPUTED_VALUE"""),6.0)</f>
        <v>6</v>
      </c>
      <c r="I163" s="1">
        <f>IFERROR(__xludf.DUMMYFUNCTION("""COMPUTED_VALUE"""),9.0)</f>
        <v>9</v>
      </c>
      <c r="J163" s="1">
        <f>IFERROR(__xludf.DUMMYFUNCTION("""COMPUTED_VALUE"""),559.0)</f>
        <v>559</v>
      </c>
      <c r="K163" s="1">
        <f>IFERROR(__xludf.DUMMYFUNCTION("""COMPUTED_VALUE"""),11.0)</f>
        <v>11</v>
      </c>
      <c r="L163" s="1">
        <f>IFERROR(__xludf.DUMMYFUNCTION("""COMPUTED_VALUE"""),25.0)</f>
        <v>25</v>
      </c>
      <c r="M163" s="1" t="str">
        <f>IFERROR(__xludf.DUMMYFUNCTION("""COMPUTED_VALUE"""),"9年169天")</f>
        <v>9年169天</v>
      </c>
      <c r="N163" s="1" t="str">
        <f>IFERROR(__xludf.DUMMYFUNCTION("""COMPUTED_VALUE"""),"受禅")</f>
        <v>受禅</v>
      </c>
      <c r="O163" s="1" t="str">
        <f>IFERROR(__xludf.DUMMYFUNCTION("""COMPUTED_VALUE"""),"受东魏孝静帝禅让")</f>
        <v>受东魏孝静帝禅让</v>
      </c>
    </row>
    <row r="164">
      <c r="A164" s="1" t="str">
        <f>IFERROR(__xludf.DUMMYFUNCTION("SPLIT(CSV!A:A,"","")"),"西魏")</f>
        <v>西魏</v>
      </c>
      <c r="B164" s="1">
        <f>IFERROR(__xludf.DUMMYFUNCTION("""COMPUTED_VALUE"""),2.0)</f>
        <v>2</v>
      </c>
      <c r="C164" s="1" t="str">
        <f>IFERROR(__xludf.DUMMYFUNCTION("""COMPUTED_VALUE"""),"-")</f>
        <v>-</v>
      </c>
      <c r="D164" s="1" t="str">
        <f>IFERROR(__xludf.DUMMYFUNCTION("""COMPUTED_VALUE"""),"-")</f>
        <v>-</v>
      </c>
      <c r="E164" s="1" t="str">
        <f>IFERROR(__xludf.DUMMYFUNCTION("""COMPUTED_VALUE"""),"西魏废帝")</f>
        <v>西魏废帝</v>
      </c>
      <c r="F164" s="1" t="str">
        <f>IFERROR(__xludf.DUMMYFUNCTION("""COMPUTED_VALUE"""),"元钦")</f>
        <v>元钦</v>
      </c>
      <c r="G164" s="1">
        <f>IFERROR(__xludf.DUMMYFUNCTION("""COMPUTED_VALUE"""),551.0)</f>
        <v>551</v>
      </c>
      <c r="H164" s="1">
        <f>IFERROR(__xludf.DUMMYFUNCTION("""COMPUTED_VALUE"""),3.0)</f>
        <v>3</v>
      </c>
      <c r="I164" s="1">
        <f>IFERROR(__xludf.DUMMYFUNCTION("""COMPUTED_VALUE"""),28.0)</f>
        <v>28</v>
      </c>
      <c r="J164" s="1">
        <f>IFERROR(__xludf.DUMMYFUNCTION("""COMPUTED_VALUE"""),554.0)</f>
        <v>554</v>
      </c>
      <c r="K164" s="1">
        <f>IFERROR(__xludf.DUMMYFUNCTION("""COMPUTED_VALUE"""),2.0)</f>
        <v>2</v>
      </c>
      <c r="L164" s="1">
        <f>IFERROR(__xludf.DUMMYFUNCTION("""COMPUTED_VALUE"""),3.0)</f>
        <v>3</v>
      </c>
      <c r="M164" s="1" t="str">
        <f>IFERROR(__xludf.DUMMYFUNCTION("""COMPUTED_VALUE"""),"2年312天")</f>
        <v>2年312天</v>
      </c>
      <c r="N164" s="1" t="str">
        <f>IFERROR(__xludf.DUMMYFUNCTION("""COMPUTED_VALUE"""),"继承")</f>
        <v>继承</v>
      </c>
      <c r="O164" s="1" t="str">
        <f>IFERROR(__xludf.DUMMYFUNCTION("""COMPUTED_VALUE"""),"元宝炬长子")</f>
        <v>元宝炬长子</v>
      </c>
    </row>
    <row r="165">
      <c r="A165" s="1" t="str">
        <f>IFERROR(__xludf.DUMMYFUNCTION("SPLIT(CSV!A:A,"","")"),"南梁")</f>
        <v>南梁</v>
      </c>
      <c r="B165" s="1">
        <f>IFERROR(__xludf.DUMMYFUNCTION("""COMPUTED_VALUE"""),3.0)</f>
        <v>3</v>
      </c>
      <c r="C165" s="1" t="str">
        <f>IFERROR(__xludf.DUMMYFUNCTION("""COMPUTED_VALUE"""),"-")</f>
        <v>-</v>
      </c>
      <c r="D165" s="1" t="str">
        <f>IFERROR(__xludf.DUMMYFUNCTION("""COMPUTED_VALUE"""),"豫章王")</f>
        <v>豫章王</v>
      </c>
      <c r="E165" s="1" t="str">
        <f>IFERROR(__xludf.DUMMYFUNCTION("""COMPUTED_VALUE"""),"-")</f>
        <v>-</v>
      </c>
      <c r="F165" s="1" t="str">
        <f>IFERROR(__xludf.DUMMYFUNCTION("""COMPUTED_VALUE"""),"萧栋")</f>
        <v>萧栋</v>
      </c>
      <c r="G165" s="1">
        <f>IFERROR(__xludf.DUMMYFUNCTION("""COMPUTED_VALUE"""),551.0)</f>
        <v>551</v>
      </c>
      <c r="H165" s="1">
        <f>IFERROR(__xludf.DUMMYFUNCTION("""COMPUTED_VALUE"""),10.0)</f>
        <v>10</v>
      </c>
      <c r="I165" s="1">
        <f>IFERROR(__xludf.DUMMYFUNCTION("""COMPUTED_VALUE"""),2.0)</f>
        <v>2</v>
      </c>
      <c r="J165" s="1">
        <f>IFERROR(__xludf.DUMMYFUNCTION("""COMPUTED_VALUE"""),552.0)</f>
        <v>552</v>
      </c>
      <c r="K165" s="1">
        <f>IFERROR(__xludf.DUMMYFUNCTION("""COMPUTED_VALUE"""),1.0)</f>
        <v>1</v>
      </c>
      <c r="L165" s="1">
        <f>IFERROR(__xludf.DUMMYFUNCTION("""COMPUTED_VALUE"""),1.0)</f>
        <v>1</v>
      </c>
      <c r="M165" s="1" t="str">
        <f>IFERROR(__xludf.DUMMYFUNCTION("""COMPUTED_VALUE"""),"91天")</f>
        <v>91天</v>
      </c>
      <c r="N165" s="1" t="str">
        <f>IFERROR(__xludf.DUMMYFUNCTION("""COMPUTED_VALUE"""),"篡立")</f>
        <v>篡立</v>
      </c>
      <c r="O165" s="1" t="str">
        <f>IFERROR(__xludf.DUMMYFUNCTION("""COMPUTED_VALUE"""),"侯景所立，后被废")</f>
        <v>侯景所立，后被废</v>
      </c>
    </row>
    <row r="166">
      <c r="A166" s="1" t="str">
        <f>IFERROR(__xludf.DUMMYFUNCTION("SPLIT(CSV!A:A,"","")"),"南梁")</f>
        <v>南梁</v>
      </c>
      <c r="B166" s="1">
        <f>IFERROR(__xludf.DUMMYFUNCTION("""COMPUTED_VALUE"""),4.0)</f>
        <v>4</v>
      </c>
      <c r="C166" s="1" t="str">
        <f>IFERROR(__xludf.DUMMYFUNCTION("""COMPUTED_VALUE"""),"世祖")</f>
        <v>世祖</v>
      </c>
      <c r="D166" s="1" t="str">
        <f>IFERROR(__xludf.DUMMYFUNCTION("""COMPUTED_VALUE"""),"孝元皇帝")</f>
        <v>孝元皇帝</v>
      </c>
      <c r="E166" s="1" t="str">
        <f>IFERROR(__xludf.DUMMYFUNCTION("""COMPUTED_VALUE"""),"梁元帝")</f>
        <v>梁元帝</v>
      </c>
      <c r="F166" s="1" t="str">
        <f>IFERROR(__xludf.DUMMYFUNCTION("""COMPUTED_VALUE"""),"萧绎")</f>
        <v>萧绎</v>
      </c>
      <c r="G166" s="1">
        <f>IFERROR(__xludf.DUMMYFUNCTION("""COMPUTED_VALUE"""),552.0)</f>
        <v>552</v>
      </c>
      <c r="H166" s="1">
        <f>IFERROR(__xludf.DUMMYFUNCTION("""COMPUTED_VALUE"""),1.0)</f>
        <v>1</v>
      </c>
      <c r="I166" s="1">
        <f>IFERROR(__xludf.DUMMYFUNCTION("""COMPUTED_VALUE"""),1.0)</f>
        <v>1</v>
      </c>
      <c r="J166" s="1">
        <f>IFERROR(__xludf.DUMMYFUNCTION("""COMPUTED_VALUE"""),555.0)</f>
        <v>555</v>
      </c>
      <c r="K166" s="1">
        <f>IFERROR(__xludf.DUMMYFUNCTION("""COMPUTED_VALUE"""),1.0)</f>
        <v>1</v>
      </c>
      <c r="L166" s="1">
        <f>IFERROR(__xludf.DUMMYFUNCTION("""COMPUTED_VALUE"""),27.0)</f>
        <v>27</v>
      </c>
      <c r="M166" s="1" t="str">
        <f>IFERROR(__xludf.DUMMYFUNCTION("""COMPUTED_VALUE"""),"2年362天")</f>
        <v>2年362天</v>
      </c>
      <c r="N166" s="1" t="str">
        <f>IFERROR(__xludf.DUMMYFUNCTION("""COMPUTED_VALUE"""),"创业")</f>
        <v>创业</v>
      </c>
      <c r="O166" s="1" t="str">
        <f>IFERROR(__xludf.DUMMYFUNCTION("""COMPUTED_VALUE"""),"平定侯景之乱后即位，被西魏擒杀")</f>
        <v>平定侯景之乱后即位，被西魏擒杀</v>
      </c>
    </row>
    <row r="167">
      <c r="A167" s="1" t="str">
        <f>IFERROR(__xludf.DUMMYFUNCTION("SPLIT(CSV!A:A,"","")"),"西魏")</f>
        <v>西魏</v>
      </c>
      <c r="B167" s="1">
        <f>IFERROR(__xludf.DUMMYFUNCTION("""COMPUTED_VALUE"""),3.0)</f>
        <v>3</v>
      </c>
      <c r="C167" s="1" t="str">
        <f>IFERROR(__xludf.DUMMYFUNCTION("""COMPUTED_VALUE"""),"-")</f>
        <v>-</v>
      </c>
      <c r="D167" s="1" t="str">
        <f>IFERROR(__xludf.DUMMYFUNCTION("""COMPUTED_VALUE"""),"恭皇帝")</f>
        <v>恭皇帝</v>
      </c>
      <c r="E167" s="1" t="str">
        <f>IFERROR(__xludf.DUMMYFUNCTION("""COMPUTED_VALUE"""),"西魏恭帝")</f>
        <v>西魏恭帝</v>
      </c>
      <c r="F167" s="1" t="str">
        <f>IFERROR(__xludf.DUMMYFUNCTION("""COMPUTED_VALUE"""),"拓跋廓")</f>
        <v>拓跋廓</v>
      </c>
      <c r="G167" s="1">
        <f>IFERROR(__xludf.DUMMYFUNCTION("""COMPUTED_VALUE"""),554.0)</f>
        <v>554</v>
      </c>
      <c r="H167" s="1">
        <f>IFERROR(__xludf.DUMMYFUNCTION("""COMPUTED_VALUE"""),2.0)</f>
        <v>2</v>
      </c>
      <c r="I167" s="1">
        <f>IFERROR(__xludf.DUMMYFUNCTION("""COMPUTED_VALUE"""),3.0)</f>
        <v>3</v>
      </c>
      <c r="J167" s="1">
        <f>IFERROR(__xludf.DUMMYFUNCTION("""COMPUTED_VALUE"""),557.0)</f>
        <v>557</v>
      </c>
      <c r="K167" s="1">
        <f>IFERROR(__xludf.DUMMYFUNCTION("""COMPUTED_VALUE"""),2.0)</f>
        <v>2</v>
      </c>
      <c r="L167" s="1">
        <f>IFERROR(__xludf.DUMMYFUNCTION("""COMPUTED_VALUE"""),15.0)</f>
        <v>15</v>
      </c>
      <c r="M167" s="1" t="str">
        <f>IFERROR(__xludf.DUMMYFUNCTION("""COMPUTED_VALUE"""),"3年12天")</f>
        <v>3年12天</v>
      </c>
      <c r="N167" s="1" t="str">
        <f>IFERROR(__xludf.DUMMYFUNCTION("""COMPUTED_VALUE"""),"篡立")</f>
        <v>篡立</v>
      </c>
      <c r="O167" s="1" t="str">
        <f>IFERROR(__xludf.DUMMYFUNCTION("""COMPUTED_VALUE"""),"宇文泰废元钦后立")</f>
        <v>宇文泰废元钦后立</v>
      </c>
    </row>
    <row r="168">
      <c r="A168" s="1" t="str">
        <f>IFERROR(__xludf.DUMMYFUNCTION("SPLIT(CSV!A:A,"","")"),"南梁")</f>
        <v>南梁</v>
      </c>
      <c r="B168" s="1">
        <f>IFERROR(__xludf.DUMMYFUNCTION("""COMPUTED_VALUE"""),5.0)</f>
        <v>5</v>
      </c>
      <c r="C168" s="1" t="str">
        <f>IFERROR(__xludf.DUMMYFUNCTION("""COMPUTED_VALUE"""),"-")</f>
        <v>-</v>
      </c>
      <c r="D168" s="1" t="str">
        <f>IFERROR(__xludf.DUMMYFUNCTION("""COMPUTED_VALUE"""),"贞阳侯/闵帝")</f>
        <v>贞阳侯/闵帝</v>
      </c>
      <c r="E168" s="1" t="str">
        <f>IFERROR(__xludf.DUMMYFUNCTION("""COMPUTED_VALUE"""),"-")</f>
        <v>-</v>
      </c>
      <c r="F168" s="1" t="str">
        <f>IFERROR(__xludf.DUMMYFUNCTION("""COMPUTED_VALUE"""),"萧渊明")</f>
        <v>萧渊明</v>
      </c>
      <c r="G168" s="1">
        <f>IFERROR(__xludf.DUMMYFUNCTION("""COMPUTED_VALUE"""),555.0)</f>
        <v>555</v>
      </c>
      <c r="H168" s="1">
        <f>IFERROR(__xludf.DUMMYFUNCTION("""COMPUTED_VALUE"""),5.0)</f>
        <v>5</v>
      </c>
      <c r="I168" s="1">
        <f>IFERROR(__xludf.DUMMYFUNCTION("""COMPUTED_VALUE"""),31.0)</f>
        <v>31</v>
      </c>
      <c r="J168" s="1">
        <f>IFERROR(__xludf.DUMMYFUNCTION("""COMPUTED_VALUE"""),555.0)</f>
        <v>555</v>
      </c>
      <c r="K168" s="1">
        <f>IFERROR(__xludf.DUMMYFUNCTION("""COMPUTED_VALUE"""),10.0)</f>
        <v>10</v>
      </c>
      <c r="L168" s="1">
        <f>IFERROR(__xludf.DUMMYFUNCTION("""COMPUTED_VALUE"""),29.0)</f>
        <v>29</v>
      </c>
      <c r="M168" s="1" t="str">
        <f>IFERROR(__xludf.DUMMYFUNCTION("""COMPUTED_VALUE"""),"151天")</f>
        <v>151天</v>
      </c>
      <c r="N168" s="1" t="str">
        <f>IFERROR(__xludf.DUMMYFUNCTION("""COMPUTED_VALUE"""),"篡立")</f>
        <v>篡立</v>
      </c>
      <c r="O168" s="1" t="str">
        <f>IFERROR(__xludf.DUMMYFUNCTION("""COMPUTED_VALUE"""),"北齐扶植，后被废")</f>
        <v>北齐扶植，后被废</v>
      </c>
    </row>
    <row r="169">
      <c r="A169" s="1" t="str">
        <f>IFERROR(__xludf.DUMMYFUNCTION("SPLIT(CSV!A:A,"","")"),"南梁")</f>
        <v>南梁</v>
      </c>
      <c r="B169" s="1">
        <f>IFERROR(__xludf.DUMMYFUNCTION("""COMPUTED_VALUE"""),6.0)</f>
        <v>6</v>
      </c>
      <c r="C169" s="1" t="str">
        <f>IFERROR(__xludf.DUMMYFUNCTION("""COMPUTED_VALUE"""),"-")</f>
        <v>-</v>
      </c>
      <c r="D169" s="1" t="str">
        <f>IFERROR(__xludf.DUMMYFUNCTION("""COMPUTED_VALUE"""),"敬皇帝")</f>
        <v>敬皇帝</v>
      </c>
      <c r="E169" s="1" t="str">
        <f>IFERROR(__xludf.DUMMYFUNCTION("""COMPUTED_VALUE"""),"梁敬帝")</f>
        <v>梁敬帝</v>
      </c>
      <c r="F169" s="1" t="str">
        <f>IFERROR(__xludf.DUMMYFUNCTION("""COMPUTED_VALUE"""),"萧方智")</f>
        <v>萧方智</v>
      </c>
      <c r="G169" s="1">
        <f>IFERROR(__xludf.DUMMYFUNCTION("""COMPUTED_VALUE"""),555.0)</f>
        <v>555</v>
      </c>
      <c r="H169" s="1">
        <f>IFERROR(__xludf.DUMMYFUNCTION("""COMPUTED_VALUE"""),10.0)</f>
        <v>10</v>
      </c>
      <c r="I169" s="1">
        <f>IFERROR(__xludf.DUMMYFUNCTION("""COMPUTED_VALUE"""),29.0)</f>
        <v>29</v>
      </c>
      <c r="J169" s="1">
        <f>IFERROR(__xludf.DUMMYFUNCTION("""COMPUTED_VALUE"""),557.0)</f>
        <v>557</v>
      </c>
      <c r="K169" s="1">
        <f>IFERROR(__xludf.DUMMYFUNCTION("""COMPUTED_VALUE"""),11.0)</f>
        <v>11</v>
      </c>
      <c r="L169" s="1">
        <f>IFERROR(__xludf.DUMMYFUNCTION("""COMPUTED_VALUE"""),16.0)</f>
        <v>16</v>
      </c>
      <c r="M169" s="1" t="str">
        <f>IFERROR(__xludf.DUMMYFUNCTION("""COMPUTED_VALUE"""),"1年353天")</f>
        <v>1年353天</v>
      </c>
      <c r="N169" s="1" t="str">
        <f>IFERROR(__xludf.DUMMYFUNCTION("""COMPUTED_VALUE"""),"政变")</f>
        <v>政变</v>
      </c>
      <c r="O169" s="1" t="str">
        <f>IFERROR(__xludf.DUMMYFUNCTION("""COMPUTED_VALUE"""),"陈霸先所立，后被迫禅让")</f>
        <v>陈霸先所立，后被迫禅让</v>
      </c>
    </row>
    <row r="170">
      <c r="A170" s="1" t="str">
        <f>IFERROR(__xludf.DUMMYFUNCTION("SPLIT(CSV!A:A,"","")"),"北周")</f>
        <v>北周</v>
      </c>
      <c r="B170" s="1">
        <f>IFERROR(__xludf.DUMMYFUNCTION("""COMPUTED_VALUE"""),1.0)</f>
        <v>1</v>
      </c>
      <c r="C170" s="1" t="str">
        <f>IFERROR(__xludf.DUMMYFUNCTION("""COMPUTED_VALUE"""),"-")</f>
        <v>-</v>
      </c>
      <c r="D170" s="1" t="str">
        <f>IFERROR(__xludf.DUMMYFUNCTION("""COMPUTED_VALUE"""),"孝闵皇帝")</f>
        <v>孝闵皇帝</v>
      </c>
      <c r="E170" s="1" t="str">
        <f>IFERROR(__xludf.DUMMYFUNCTION("""COMPUTED_VALUE"""),"北周孝闵帝")</f>
        <v>北周孝闵帝</v>
      </c>
      <c r="F170" s="1" t="str">
        <f>IFERROR(__xludf.DUMMYFUNCTION("""COMPUTED_VALUE"""),"宇文觉")</f>
        <v>宇文觉</v>
      </c>
      <c r="G170" s="1">
        <f>IFERROR(__xludf.DUMMYFUNCTION("""COMPUTED_VALUE"""),557.0)</f>
        <v>557</v>
      </c>
      <c r="H170" s="1">
        <f>IFERROR(__xludf.DUMMYFUNCTION("""COMPUTED_VALUE"""),2.0)</f>
        <v>2</v>
      </c>
      <c r="I170" s="1">
        <f>IFERROR(__xludf.DUMMYFUNCTION("""COMPUTED_VALUE"""),15.0)</f>
        <v>15</v>
      </c>
      <c r="J170" s="1">
        <f>IFERROR(__xludf.DUMMYFUNCTION("""COMPUTED_VALUE"""),557.0)</f>
        <v>557</v>
      </c>
      <c r="K170" s="1">
        <f>IFERROR(__xludf.DUMMYFUNCTION("""COMPUTED_VALUE"""),9.0)</f>
        <v>9</v>
      </c>
      <c r="L170" s="1">
        <f>IFERROR(__xludf.DUMMYFUNCTION("""COMPUTED_VALUE"""),28.0)</f>
        <v>28</v>
      </c>
      <c r="M170" s="1" t="str">
        <f>IFERROR(__xludf.DUMMYFUNCTION("""COMPUTED_VALUE"""),"225天")</f>
        <v>225天</v>
      </c>
      <c r="N170" s="1" t="str">
        <f>IFERROR(__xludf.DUMMYFUNCTION("""COMPUTED_VALUE"""),"受禅")</f>
        <v>受禅</v>
      </c>
      <c r="O170" s="1" t="str">
        <f>IFERROR(__xludf.DUMMYFUNCTION("""COMPUTED_VALUE"""),"受西魏恭帝禅让")</f>
        <v>受西魏恭帝禅让</v>
      </c>
    </row>
    <row r="171">
      <c r="A171" s="1" t="str">
        <f>IFERROR(__xludf.DUMMYFUNCTION("SPLIT(CSV!A:A,"","")"),"北周")</f>
        <v>北周</v>
      </c>
      <c r="B171" s="1">
        <f>IFERROR(__xludf.DUMMYFUNCTION("""COMPUTED_VALUE"""),2.0)</f>
        <v>2</v>
      </c>
      <c r="C171" s="1" t="str">
        <f>IFERROR(__xludf.DUMMYFUNCTION("""COMPUTED_VALUE"""),"世宗")</f>
        <v>世宗</v>
      </c>
      <c r="D171" s="1" t="str">
        <f>IFERROR(__xludf.DUMMYFUNCTION("""COMPUTED_VALUE"""),"明皇帝")</f>
        <v>明皇帝</v>
      </c>
      <c r="E171" s="1" t="str">
        <f>IFERROR(__xludf.DUMMYFUNCTION("""COMPUTED_VALUE"""),"北周明帝")</f>
        <v>北周明帝</v>
      </c>
      <c r="F171" s="1" t="str">
        <f>IFERROR(__xludf.DUMMYFUNCTION("""COMPUTED_VALUE"""),"宇文毓")</f>
        <v>宇文毓</v>
      </c>
      <c r="G171" s="1">
        <f>IFERROR(__xludf.DUMMYFUNCTION("""COMPUTED_VALUE"""),557.0)</f>
        <v>557</v>
      </c>
      <c r="H171" s="1">
        <f>IFERROR(__xludf.DUMMYFUNCTION("""COMPUTED_VALUE"""),9.0)</f>
        <v>9</v>
      </c>
      <c r="I171" s="1">
        <f>IFERROR(__xludf.DUMMYFUNCTION("""COMPUTED_VALUE"""),28.0)</f>
        <v>28</v>
      </c>
      <c r="J171" s="1">
        <f>IFERROR(__xludf.DUMMYFUNCTION("""COMPUTED_VALUE"""),560.0)</f>
        <v>560</v>
      </c>
      <c r="K171" s="1">
        <f>IFERROR(__xludf.DUMMYFUNCTION("""COMPUTED_VALUE"""),5.0)</f>
        <v>5</v>
      </c>
      <c r="L171" s="1">
        <f>IFERROR(__xludf.DUMMYFUNCTION("""COMPUTED_VALUE"""),31.0)</f>
        <v>31</v>
      </c>
      <c r="M171" s="1" t="str">
        <f>IFERROR(__xludf.DUMMYFUNCTION("""COMPUTED_VALUE"""),"2年246天")</f>
        <v>2年246天</v>
      </c>
      <c r="N171" s="1" t="str">
        <f>IFERROR(__xludf.DUMMYFUNCTION("""COMPUTED_VALUE"""),"政变")</f>
        <v>政变</v>
      </c>
      <c r="O171" s="1" t="str">
        <f>IFERROR(__xludf.DUMMYFUNCTION("""COMPUTED_VALUE"""),"宇文护废宇文觉后立")</f>
        <v>宇文护废宇文觉后立</v>
      </c>
    </row>
    <row r="172">
      <c r="A172" s="1" t="str">
        <f>IFERROR(__xludf.DUMMYFUNCTION("SPLIT(CSV!A:A,"","")"),"南陈")</f>
        <v>南陈</v>
      </c>
      <c r="B172" s="1">
        <f>IFERROR(__xludf.DUMMYFUNCTION("""COMPUTED_VALUE"""),1.0)</f>
        <v>1</v>
      </c>
      <c r="C172" s="1" t="str">
        <f>IFERROR(__xludf.DUMMYFUNCTION("""COMPUTED_VALUE"""),"高祖")</f>
        <v>高祖</v>
      </c>
      <c r="D172" s="1" t="str">
        <f>IFERROR(__xludf.DUMMYFUNCTION("""COMPUTED_VALUE"""),"武皇帝")</f>
        <v>武皇帝</v>
      </c>
      <c r="E172" s="1" t="str">
        <f>IFERROR(__xludf.DUMMYFUNCTION("""COMPUTED_VALUE"""),"陈武帝")</f>
        <v>陈武帝</v>
      </c>
      <c r="F172" s="1" t="str">
        <f>IFERROR(__xludf.DUMMYFUNCTION("""COMPUTED_VALUE"""),"陈霸先")</f>
        <v>陈霸先</v>
      </c>
      <c r="G172" s="1">
        <f>IFERROR(__xludf.DUMMYFUNCTION("""COMPUTED_VALUE"""),557.0)</f>
        <v>557</v>
      </c>
      <c r="H172" s="1">
        <f>IFERROR(__xludf.DUMMYFUNCTION("""COMPUTED_VALUE"""),11.0)</f>
        <v>11</v>
      </c>
      <c r="I172" s="1">
        <f>IFERROR(__xludf.DUMMYFUNCTION("""COMPUTED_VALUE"""),16.0)</f>
        <v>16</v>
      </c>
      <c r="J172" s="1">
        <f>IFERROR(__xludf.DUMMYFUNCTION("""COMPUTED_VALUE"""),559.0)</f>
        <v>559</v>
      </c>
      <c r="K172" s="1">
        <f>IFERROR(__xludf.DUMMYFUNCTION("""COMPUTED_VALUE"""),8.0)</f>
        <v>8</v>
      </c>
      <c r="L172" s="1">
        <f>IFERROR(__xludf.DUMMYFUNCTION("""COMPUTED_VALUE"""),9.0)</f>
        <v>9</v>
      </c>
      <c r="M172" s="1" t="str">
        <f>IFERROR(__xludf.DUMMYFUNCTION("""COMPUTED_VALUE"""),"1年266天")</f>
        <v>1年266天</v>
      </c>
      <c r="N172" s="1" t="str">
        <f>IFERROR(__xludf.DUMMYFUNCTION("""COMPUTED_VALUE"""),"受禅")</f>
        <v>受禅</v>
      </c>
      <c r="O172" s="1" t="str">
        <f>IFERROR(__xludf.DUMMYFUNCTION("""COMPUTED_VALUE"""),"受梁敬帝禅让")</f>
        <v>受梁敬帝禅让</v>
      </c>
    </row>
    <row r="173">
      <c r="A173" s="1" t="str">
        <f>IFERROR(__xludf.DUMMYFUNCTION("SPLIT(CSV!A:A,"","")"),"南陈")</f>
        <v>南陈</v>
      </c>
      <c r="B173" s="1">
        <f>IFERROR(__xludf.DUMMYFUNCTION("""COMPUTED_VALUE"""),2.0)</f>
        <v>2</v>
      </c>
      <c r="C173" s="1" t="str">
        <f>IFERROR(__xludf.DUMMYFUNCTION("""COMPUTED_VALUE"""),"世祖")</f>
        <v>世祖</v>
      </c>
      <c r="D173" s="1" t="str">
        <f>IFERROR(__xludf.DUMMYFUNCTION("""COMPUTED_VALUE"""),"文皇帝")</f>
        <v>文皇帝</v>
      </c>
      <c r="E173" s="1" t="str">
        <f>IFERROR(__xludf.DUMMYFUNCTION("""COMPUTED_VALUE"""),"陈文帝")</f>
        <v>陈文帝</v>
      </c>
      <c r="F173" s="1" t="str">
        <f>IFERROR(__xludf.DUMMYFUNCTION("""COMPUTED_VALUE"""),"陈蒨")</f>
        <v>陈蒨</v>
      </c>
      <c r="G173" s="1">
        <f>IFERROR(__xludf.DUMMYFUNCTION("""COMPUTED_VALUE"""),559.0)</f>
        <v>559</v>
      </c>
      <c r="H173" s="1">
        <f>IFERROR(__xludf.DUMMYFUNCTION("""COMPUTED_VALUE"""),8.0)</f>
        <v>8</v>
      </c>
      <c r="I173" s="1">
        <f>IFERROR(__xludf.DUMMYFUNCTION("""COMPUTED_VALUE"""),9.0)</f>
        <v>9</v>
      </c>
      <c r="J173" s="1">
        <f>IFERROR(__xludf.DUMMYFUNCTION("""COMPUTED_VALUE"""),566.0)</f>
        <v>566</v>
      </c>
      <c r="K173" s="1">
        <f>IFERROR(__xludf.DUMMYFUNCTION("""COMPUTED_VALUE"""),5.0)</f>
        <v>5</v>
      </c>
      <c r="L173" s="1">
        <f>IFERROR(__xludf.DUMMYFUNCTION("""COMPUTED_VALUE"""),31.0)</f>
        <v>31</v>
      </c>
      <c r="M173" s="1" t="str">
        <f>IFERROR(__xludf.DUMMYFUNCTION("""COMPUTED_VALUE"""),"6年295天")</f>
        <v>6年295天</v>
      </c>
      <c r="N173" s="1" t="str">
        <f>IFERROR(__xludf.DUMMYFUNCTION("""COMPUTED_VALUE"""),"继承")</f>
        <v>继承</v>
      </c>
      <c r="O173" s="1" t="str">
        <f>IFERROR(__xludf.DUMMYFUNCTION("""COMPUTED_VALUE"""),"-")</f>
        <v>-</v>
      </c>
    </row>
    <row r="174">
      <c r="A174" s="1" t="str">
        <f>IFERROR(__xludf.DUMMYFUNCTION("SPLIT(CSV!A:A,"","")"),"北齐")</f>
        <v>北齐</v>
      </c>
      <c r="B174" s="1">
        <f>IFERROR(__xludf.DUMMYFUNCTION("""COMPUTED_VALUE"""),2.0)</f>
        <v>2</v>
      </c>
      <c r="C174" s="1" t="str">
        <f>IFERROR(__xludf.DUMMYFUNCTION("""COMPUTED_VALUE"""),"-")</f>
        <v>-</v>
      </c>
      <c r="D174" s="1" t="str">
        <f>IFERROR(__xludf.DUMMYFUNCTION("""COMPUTED_VALUE"""),"-")</f>
        <v>-</v>
      </c>
      <c r="E174" s="1" t="str">
        <f>IFERROR(__xludf.DUMMYFUNCTION("""COMPUTED_VALUE"""),"北齐废帝")</f>
        <v>北齐废帝</v>
      </c>
      <c r="F174" s="1" t="str">
        <f>IFERROR(__xludf.DUMMYFUNCTION("""COMPUTED_VALUE"""),"高殷")</f>
        <v>高殷</v>
      </c>
      <c r="G174" s="1">
        <f>IFERROR(__xludf.DUMMYFUNCTION("""COMPUTED_VALUE"""),559.0)</f>
        <v>559</v>
      </c>
      <c r="H174" s="1">
        <f>IFERROR(__xludf.DUMMYFUNCTION("""COMPUTED_VALUE"""),11.0)</f>
        <v>11</v>
      </c>
      <c r="I174" s="1">
        <f>IFERROR(__xludf.DUMMYFUNCTION("""COMPUTED_VALUE"""),25.0)</f>
        <v>25</v>
      </c>
      <c r="J174" s="1">
        <f>IFERROR(__xludf.DUMMYFUNCTION("""COMPUTED_VALUE"""),560.0)</f>
        <v>560</v>
      </c>
      <c r="K174" s="1">
        <f>IFERROR(__xludf.DUMMYFUNCTION("""COMPUTED_VALUE"""),9.0)</f>
        <v>9</v>
      </c>
      <c r="L174" s="1">
        <f>IFERROR(__xludf.DUMMYFUNCTION("""COMPUTED_VALUE"""),8.0)</f>
        <v>8</v>
      </c>
      <c r="M174" s="1" t="str">
        <f>IFERROR(__xludf.DUMMYFUNCTION("""COMPUTED_VALUE"""),"288天")</f>
        <v>288天</v>
      </c>
      <c r="N174" s="1" t="str">
        <f>IFERROR(__xludf.DUMMYFUNCTION("""COMPUTED_VALUE"""),"继承")</f>
        <v>继承</v>
      </c>
      <c r="O174" s="1" t="str">
        <f>IFERROR(__xludf.DUMMYFUNCTION("""COMPUTED_VALUE"""),"高洋长子")</f>
        <v>高洋长子</v>
      </c>
    </row>
    <row r="175">
      <c r="A175" s="1" t="str">
        <f>IFERROR(__xludf.DUMMYFUNCTION("SPLIT(CSV!A:A,"","")"),"北周")</f>
        <v>北周</v>
      </c>
      <c r="B175" s="1">
        <f>IFERROR(__xludf.DUMMYFUNCTION("""COMPUTED_VALUE"""),3.0)</f>
        <v>3</v>
      </c>
      <c r="C175" s="1" t="str">
        <f>IFERROR(__xludf.DUMMYFUNCTION("""COMPUTED_VALUE"""),"高祖")</f>
        <v>高祖</v>
      </c>
      <c r="D175" s="1" t="str">
        <f>IFERROR(__xludf.DUMMYFUNCTION("""COMPUTED_VALUE"""),"武皇帝")</f>
        <v>武皇帝</v>
      </c>
      <c r="E175" s="1" t="str">
        <f>IFERROR(__xludf.DUMMYFUNCTION("""COMPUTED_VALUE"""),"北周武帝")</f>
        <v>北周武帝</v>
      </c>
      <c r="F175" s="1" t="str">
        <f>IFERROR(__xludf.DUMMYFUNCTION("""COMPUTED_VALUE"""),"宇文邕")</f>
        <v>宇文邕</v>
      </c>
      <c r="G175" s="1">
        <f>IFERROR(__xludf.DUMMYFUNCTION("""COMPUTED_VALUE"""),560.0)</f>
        <v>560</v>
      </c>
      <c r="H175" s="1">
        <f>IFERROR(__xludf.DUMMYFUNCTION("""COMPUTED_VALUE"""),5.0)</f>
        <v>5</v>
      </c>
      <c r="I175" s="1">
        <f>IFERROR(__xludf.DUMMYFUNCTION("""COMPUTED_VALUE"""),31.0)</f>
        <v>31</v>
      </c>
      <c r="J175" s="1">
        <f>IFERROR(__xludf.DUMMYFUNCTION("""COMPUTED_VALUE"""),578.0)</f>
        <v>578</v>
      </c>
      <c r="K175" s="1">
        <f>IFERROR(__xludf.DUMMYFUNCTION("""COMPUTED_VALUE"""),6.0)</f>
        <v>6</v>
      </c>
      <c r="L175" s="1">
        <f>IFERROR(__xludf.DUMMYFUNCTION("""COMPUTED_VALUE"""),21.0)</f>
        <v>21</v>
      </c>
      <c r="M175" s="1" t="str">
        <f>IFERROR(__xludf.DUMMYFUNCTION("""COMPUTED_VALUE"""),"18年21天")</f>
        <v>18年21天</v>
      </c>
      <c r="N175" s="1" t="str">
        <f>IFERROR(__xludf.DUMMYFUNCTION("""COMPUTED_VALUE"""),"继承")</f>
        <v>继承</v>
      </c>
      <c r="O175" s="1" t="str">
        <f>IFERROR(__xludf.DUMMYFUNCTION("""COMPUTED_VALUE"""),"宇文泰第四子")</f>
        <v>宇文泰第四子</v>
      </c>
    </row>
    <row r="176">
      <c r="A176" s="1" t="str">
        <f>IFERROR(__xludf.DUMMYFUNCTION("SPLIT(CSV!A:A,"","")"),"北齐")</f>
        <v>北齐</v>
      </c>
      <c r="B176" s="1">
        <f>IFERROR(__xludf.DUMMYFUNCTION("""COMPUTED_VALUE"""),3.0)</f>
        <v>3</v>
      </c>
      <c r="C176" s="1" t="str">
        <f>IFERROR(__xludf.DUMMYFUNCTION("""COMPUTED_VALUE"""),"肃宗")</f>
        <v>肃宗</v>
      </c>
      <c r="D176" s="1" t="str">
        <f>IFERROR(__xludf.DUMMYFUNCTION("""COMPUTED_VALUE"""),"孝昭皇帝")</f>
        <v>孝昭皇帝</v>
      </c>
      <c r="E176" s="1" t="str">
        <f>IFERROR(__xludf.DUMMYFUNCTION("""COMPUTED_VALUE"""),"北齐孝昭帝")</f>
        <v>北齐孝昭帝</v>
      </c>
      <c r="F176" s="1" t="str">
        <f>IFERROR(__xludf.DUMMYFUNCTION("""COMPUTED_VALUE"""),"高演")</f>
        <v>高演</v>
      </c>
      <c r="G176" s="1">
        <f>IFERROR(__xludf.DUMMYFUNCTION("""COMPUTED_VALUE"""),560.0)</f>
        <v>560</v>
      </c>
      <c r="H176" s="1">
        <f>IFERROR(__xludf.DUMMYFUNCTION("""COMPUTED_VALUE"""),9.0)</f>
        <v>9</v>
      </c>
      <c r="I176" s="1">
        <f>IFERROR(__xludf.DUMMYFUNCTION("""COMPUTED_VALUE"""),8.0)</f>
        <v>8</v>
      </c>
      <c r="J176" s="1">
        <f>IFERROR(__xludf.DUMMYFUNCTION("""COMPUTED_VALUE"""),561.0)</f>
        <v>561</v>
      </c>
      <c r="K176" s="1">
        <f>IFERROR(__xludf.DUMMYFUNCTION("""COMPUTED_VALUE"""),12.0)</f>
        <v>12</v>
      </c>
      <c r="L176" s="1">
        <f>IFERROR(__xludf.DUMMYFUNCTION("""COMPUTED_VALUE"""),3.0)</f>
        <v>3</v>
      </c>
      <c r="M176" s="1" t="str">
        <f>IFERROR(__xludf.DUMMYFUNCTION("""COMPUTED_VALUE"""),"1年86天")</f>
        <v>1年86天</v>
      </c>
      <c r="N176" s="1" t="str">
        <f>IFERROR(__xludf.DUMMYFUNCTION("""COMPUTED_VALUE"""),"政变")</f>
        <v>政变</v>
      </c>
      <c r="O176" s="1" t="str">
        <f>IFERROR(__xludf.DUMMYFUNCTION("""COMPUTED_VALUE"""),"废高殷自立")</f>
        <v>废高殷自立</v>
      </c>
    </row>
    <row r="177">
      <c r="A177" s="1" t="str">
        <f>IFERROR(__xludf.DUMMYFUNCTION("SPLIT(CSV!A:A,"","")"),"北齐")</f>
        <v>北齐</v>
      </c>
      <c r="B177" s="1">
        <f>IFERROR(__xludf.DUMMYFUNCTION("""COMPUTED_VALUE"""),4.0)</f>
        <v>4</v>
      </c>
      <c r="C177" s="1" t="str">
        <f>IFERROR(__xludf.DUMMYFUNCTION("""COMPUTED_VALUE"""),"世祖")</f>
        <v>世祖</v>
      </c>
      <c r="D177" s="1" t="str">
        <f>IFERROR(__xludf.DUMMYFUNCTION("""COMPUTED_VALUE"""),"武成皇帝")</f>
        <v>武成皇帝</v>
      </c>
      <c r="E177" s="1" t="str">
        <f>IFERROR(__xludf.DUMMYFUNCTION("""COMPUTED_VALUE"""),"北齐武成帝")</f>
        <v>北齐武成帝</v>
      </c>
      <c r="F177" s="1" t="str">
        <f>IFERROR(__xludf.DUMMYFUNCTION("""COMPUTED_VALUE"""),"高湛")</f>
        <v>高湛</v>
      </c>
      <c r="G177" s="1">
        <f>IFERROR(__xludf.DUMMYFUNCTION("""COMPUTED_VALUE"""),561.0)</f>
        <v>561</v>
      </c>
      <c r="H177" s="1">
        <f>IFERROR(__xludf.DUMMYFUNCTION("""COMPUTED_VALUE"""),12.0)</f>
        <v>12</v>
      </c>
      <c r="I177" s="1">
        <f>IFERROR(__xludf.DUMMYFUNCTION("""COMPUTED_VALUE"""),3.0)</f>
        <v>3</v>
      </c>
      <c r="J177" s="1">
        <f>IFERROR(__xludf.DUMMYFUNCTION("""COMPUTED_VALUE"""),565.0)</f>
        <v>565</v>
      </c>
      <c r="K177" s="1">
        <f>IFERROR(__xludf.DUMMYFUNCTION("""COMPUTED_VALUE"""),6.0)</f>
        <v>6</v>
      </c>
      <c r="L177" s="1">
        <f>IFERROR(__xludf.DUMMYFUNCTION("""COMPUTED_VALUE"""),8.0)</f>
        <v>8</v>
      </c>
      <c r="M177" s="1" t="str">
        <f>IFERROR(__xludf.DUMMYFUNCTION("""COMPUTED_VALUE"""),"3年187天")</f>
        <v>3年187天</v>
      </c>
      <c r="N177" s="1" t="str">
        <f>IFERROR(__xludf.DUMMYFUNCTION("""COMPUTED_VALUE"""),"继承")</f>
        <v>继承</v>
      </c>
      <c r="O177" s="1" t="str">
        <f>IFERROR(__xludf.DUMMYFUNCTION("""COMPUTED_VALUE"""),"高欢第九子")</f>
        <v>高欢第九子</v>
      </c>
    </row>
    <row r="178">
      <c r="A178" s="1" t="str">
        <f>IFERROR(__xludf.DUMMYFUNCTION("SPLIT(CSV!A:A,"","")"),"北齐")</f>
        <v>北齐</v>
      </c>
      <c r="B178" s="1">
        <f>IFERROR(__xludf.DUMMYFUNCTION("""COMPUTED_VALUE"""),5.0)</f>
        <v>5</v>
      </c>
      <c r="C178" s="1" t="str">
        <f>IFERROR(__xludf.DUMMYFUNCTION("""COMPUTED_VALUE"""),"-")</f>
        <v>-</v>
      </c>
      <c r="D178" s="1" t="str">
        <f>IFERROR(__xludf.DUMMYFUNCTION("""COMPUTED_VALUE"""),"-")</f>
        <v>-</v>
      </c>
      <c r="E178" s="1" t="str">
        <f>IFERROR(__xludf.DUMMYFUNCTION("""COMPUTED_VALUE"""),"北齐后主")</f>
        <v>北齐后主</v>
      </c>
      <c r="F178" s="1" t="str">
        <f>IFERROR(__xludf.DUMMYFUNCTION("""COMPUTED_VALUE"""),"高纬")</f>
        <v>高纬</v>
      </c>
      <c r="G178" s="1">
        <f>IFERROR(__xludf.DUMMYFUNCTION("""COMPUTED_VALUE"""),565.0)</f>
        <v>565</v>
      </c>
      <c r="H178" s="1">
        <f>IFERROR(__xludf.DUMMYFUNCTION("""COMPUTED_VALUE"""),6.0)</f>
        <v>6</v>
      </c>
      <c r="I178" s="1">
        <f>IFERROR(__xludf.DUMMYFUNCTION("""COMPUTED_VALUE"""),8.0)</f>
        <v>8</v>
      </c>
      <c r="J178" s="1">
        <f>IFERROR(__xludf.DUMMYFUNCTION("""COMPUTED_VALUE"""),577.0)</f>
        <v>577</v>
      </c>
      <c r="K178" s="1">
        <f>IFERROR(__xludf.DUMMYFUNCTION("""COMPUTED_VALUE"""),2.0)</f>
        <v>2</v>
      </c>
      <c r="L178" s="1">
        <f>IFERROR(__xludf.DUMMYFUNCTION("""COMPUTED_VALUE"""),28.0)</f>
        <v>28</v>
      </c>
      <c r="M178" s="1" t="str">
        <f>IFERROR(__xludf.DUMMYFUNCTION("""COMPUTED_VALUE"""),"11年265天")</f>
        <v>11年265天</v>
      </c>
      <c r="N178" s="1" t="str">
        <f>IFERROR(__xludf.DUMMYFUNCTION("""COMPUTED_VALUE"""),"继承")</f>
        <v>继承</v>
      </c>
      <c r="O178" s="1" t="str">
        <f>IFERROR(__xludf.DUMMYFUNCTION("""COMPUTED_VALUE"""),"高湛长子")</f>
        <v>高湛长子</v>
      </c>
    </row>
    <row r="179">
      <c r="A179" s="1" t="str">
        <f>IFERROR(__xludf.DUMMYFUNCTION("SPLIT(CSV!A:A,"","")"),"南陈")</f>
        <v>南陈</v>
      </c>
      <c r="B179" s="1">
        <f>IFERROR(__xludf.DUMMYFUNCTION("""COMPUTED_VALUE"""),3.0)</f>
        <v>3</v>
      </c>
      <c r="C179" s="1" t="str">
        <f>IFERROR(__xludf.DUMMYFUNCTION("""COMPUTED_VALUE"""),"-")</f>
        <v>-</v>
      </c>
      <c r="D179" s="1" t="str">
        <f>IFERROR(__xludf.DUMMYFUNCTION("""COMPUTED_VALUE"""),"临海王/废帝")</f>
        <v>临海王/废帝</v>
      </c>
      <c r="E179" s="1" t="str">
        <f>IFERROR(__xludf.DUMMYFUNCTION("""COMPUTED_VALUE"""),"-")</f>
        <v>-</v>
      </c>
      <c r="F179" s="1" t="str">
        <f>IFERROR(__xludf.DUMMYFUNCTION("""COMPUTED_VALUE"""),"陈伯宗")</f>
        <v>陈伯宗</v>
      </c>
      <c r="G179" s="1">
        <f>IFERROR(__xludf.DUMMYFUNCTION("""COMPUTED_VALUE"""),566.0)</f>
        <v>566</v>
      </c>
      <c r="H179" s="1">
        <f>IFERROR(__xludf.DUMMYFUNCTION("""COMPUTED_VALUE"""),5.0)</f>
        <v>5</v>
      </c>
      <c r="I179" s="1">
        <f>IFERROR(__xludf.DUMMYFUNCTION("""COMPUTED_VALUE"""),31.0)</f>
        <v>31</v>
      </c>
      <c r="J179" s="1">
        <f>IFERROR(__xludf.DUMMYFUNCTION("""COMPUTED_VALUE"""),568.0)</f>
        <v>568</v>
      </c>
      <c r="K179" s="1">
        <f>IFERROR(__xludf.DUMMYFUNCTION("""COMPUTED_VALUE"""),2.0)</f>
        <v>2</v>
      </c>
      <c r="L179" s="1">
        <f>IFERROR(__xludf.DUMMYFUNCTION("""COMPUTED_VALUE"""),5.0)</f>
        <v>5</v>
      </c>
      <c r="M179" s="1" t="str">
        <f>IFERROR(__xludf.DUMMYFUNCTION("""COMPUTED_VALUE"""),"1年250天")</f>
        <v>1年250天</v>
      </c>
      <c r="N179" s="1" t="str">
        <f>IFERROR(__xludf.DUMMYFUNCTION("""COMPUTED_VALUE"""),"继承")</f>
        <v>继承</v>
      </c>
      <c r="O179" s="1" t="str">
        <f>IFERROR(__xludf.DUMMYFUNCTION("""COMPUTED_VALUE"""),"被废")</f>
        <v>被废</v>
      </c>
    </row>
    <row r="180">
      <c r="A180" s="1" t="str">
        <f>IFERROR(__xludf.DUMMYFUNCTION("SPLIT(CSV!A:A,"","")"),"南陈")</f>
        <v>南陈</v>
      </c>
      <c r="B180" s="1">
        <f>IFERROR(__xludf.DUMMYFUNCTION("""COMPUTED_VALUE"""),4.0)</f>
        <v>4</v>
      </c>
      <c r="C180" s="1" t="str">
        <f>IFERROR(__xludf.DUMMYFUNCTION("""COMPUTED_VALUE"""),"高宗")</f>
        <v>高宗</v>
      </c>
      <c r="D180" s="1" t="str">
        <f>IFERROR(__xludf.DUMMYFUNCTION("""COMPUTED_VALUE"""),"孝宣皇帝")</f>
        <v>孝宣皇帝</v>
      </c>
      <c r="E180" s="1" t="str">
        <f>IFERROR(__xludf.DUMMYFUNCTION("""COMPUTED_VALUE"""),"陈宣帝")</f>
        <v>陈宣帝</v>
      </c>
      <c r="F180" s="1" t="str">
        <f>IFERROR(__xludf.DUMMYFUNCTION("""COMPUTED_VALUE"""),"陈顼")</f>
        <v>陈顼</v>
      </c>
      <c r="G180" s="1">
        <f>IFERROR(__xludf.DUMMYFUNCTION("""COMPUTED_VALUE"""),568.0)</f>
        <v>568</v>
      </c>
      <c r="H180" s="1">
        <f>IFERROR(__xludf.DUMMYFUNCTION("""COMPUTED_VALUE"""),2.0)</f>
        <v>2</v>
      </c>
      <c r="I180" s="1">
        <f>IFERROR(__xludf.DUMMYFUNCTION("""COMPUTED_VALUE"""),5.0)</f>
        <v>5</v>
      </c>
      <c r="J180" s="1">
        <f>IFERROR(__xludf.DUMMYFUNCTION("""COMPUTED_VALUE"""),582.0)</f>
        <v>582</v>
      </c>
      <c r="K180" s="1">
        <f>IFERROR(__xludf.DUMMYFUNCTION("""COMPUTED_VALUE"""),2.0)</f>
        <v>2</v>
      </c>
      <c r="L180" s="1">
        <f>IFERROR(__xludf.DUMMYFUNCTION("""COMPUTED_VALUE"""),17.0)</f>
        <v>17</v>
      </c>
      <c r="M180" s="1" t="str">
        <f>IFERROR(__xludf.DUMMYFUNCTION("""COMPUTED_VALUE"""),"14年12天")</f>
        <v>14年12天</v>
      </c>
      <c r="N180" s="1" t="str">
        <f>IFERROR(__xludf.DUMMYFUNCTION("""COMPUTED_VALUE"""),"篡位")</f>
        <v>篡位</v>
      </c>
      <c r="O180" s="1" t="str">
        <f>IFERROR(__xludf.DUMMYFUNCTION("""COMPUTED_VALUE"""),"-")</f>
        <v>-</v>
      </c>
    </row>
    <row r="181">
      <c r="A181" s="1" t="str">
        <f>IFERROR(__xludf.DUMMYFUNCTION("SPLIT(CSV!A:A,"","")"),"北齐")</f>
        <v>北齐</v>
      </c>
      <c r="B181" s="1">
        <f>IFERROR(__xludf.DUMMYFUNCTION("""COMPUTED_VALUE"""),6.0)</f>
        <v>6</v>
      </c>
      <c r="C181" s="1" t="str">
        <f>IFERROR(__xludf.DUMMYFUNCTION("""COMPUTED_VALUE"""),"-")</f>
        <v>-</v>
      </c>
      <c r="D181" s="1" t="str">
        <f>IFERROR(__xludf.DUMMYFUNCTION("""COMPUTED_VALUE"""),"-")</f>
        <v>-</v>
      </c>
      <c r="E181" s="1" t="str">
        <f>IFERROR(__xludf.DUMMYFUNCTION("""COMPUTED_VALUE"""),"北齐幼主")</f>
        <v>北齐幼主</v>
      </c>
      <c r="F181" s="1" t="str">
        <f>IFERROR(__xludf.DUMMYFUNCTION("""COMPUTED_VALUE"""),"高恒")</f>
        <v>高恒</v>
      </c>
      <c r="G181" s="1">
        <f>IFERROR(__xludf.DUMMYFUNCTION("""COMPUTED_VALUE"""),577.0)</f>
        <v>577</v>
      </c>
      <c r="H181" s="1">
        <f>IFERROR(__xludf.DUMMYFUNCTION("""COMPUTED_VALUE"""),1.0)</f>
        <v>1</v>
      </c>
      <c r="I181" s="1">
        <f>IFERROR(__xludf.DUMMYFUNCTION("""COMPUTED_VALUE"""),3.0)</f>
        <v>3</v>
      </c>
      <c r="J181" s="1">
        <f>IFERROR(__xludf.DUMMYFUNCTION("""COMPUTED_VALUE"""),577.0)</f>
        <v>577</v>
      </c>
      <c r="K181" s="1">
        <f>IFERROR(__xludf.DUMMYFUNCTION("""COMPUTED_VALUE"""),2.0)</f>
        <v>2</v>
      </c>
      <c r="L181" s="1">
        <f>IFERROR(__xludf.DUMMYFUNCTION("""COMPUTED_VALUE"""),28.0)</f>
        <v>28</v>
      </c>
      <c r="M181" s="1" t="str">
        <f>IFERROR(__xludf.DUMMYFUNCTION("""COMPUTED_VALUE"""),"56天")</f>
        <v>56天</v>
      </c>
      <c r="N181" s="1" t="str">
        <f>IFERROR(__xludf.DUMMYFUNCTION("""COMPUTED_VALUE"""),"禅让")</f>
        <v>禅让</v>
      </c>
      <c r="O181" s="1" t="str">
        <f>IFERROR(__xludf.DUMMYFUNCTION("""COMPUTED_VALUE"""),"高纬禅位，北齐亡")</f>
        <v>高纬禅位，北齐亡</v>
      </c>
    </row>
    <row r="182">
      <c r="A182" s="1" t="str">
        <f>IFERROR(__xludf.DUMMYFUNCTION("SPLIT(CSV!A:A,"","")"),"北周")</f>
        <v>北周</v>
      </c>
      <c r="B182" s="1">
        <f>IFERROR(__xludf.DUMMYFUNCTION("""COMPUTED_VALUE"""),4.0)</f>
        <v>4</v>
      </c>
      <c r="C182" s="1" t="str">
        <f>IFERROR(__xludf.DUMMYFUNCTION("""COMPUTED_VALUE"""),"-")</f>
        <v>-</v>
      </c>
      <c r="D182" s="1" t="str">
        <f>IFERROR(__xludf.DUMMYFUNCTION("""COMPUTED_VALUE"""),"宣皇帝")</f>
        <v>宣皇帝</v>
      </c>
      <c r="E182" s="1" t="str">
        <f>IFERROR(__xludf.DUMMYFUNCTION("""COMPUTED_VALUE"""),"北周宣帝")</f>
        <v>北周宣帝</v>
      </c>
      <c r="F182" s="1" t="str">
        <f>IFERROR(__xludf.DUMMYFUNCTION("""COMPUTED_VALUE"""),"宇文赟")</f>
        <v>宇文赟</v>
      </c>
      <c r="G182" s="1">
        <f>IFERROR(__xludf.DUMMYFUNCTION("""COMPUTED_VALUE"""),578.0)</f>
        <v>578</v>
      </c>
      <c r="H182" s="1">
        <f>IFERROR(__xludf.DUMMYFUNCTION("""COMPUTED_VALUE"""),6.0)</f>
        <v>6</v>
      </c>
      <c r="I182" s="1">
        <f>IFERROR(__xludf.DUMMYFUNCTION("""COMPUTED_VALUE"""),21.0)</f>
        <v>21</v>
      </c>
      <c r="J182" s="1">
        <f>IFERROR(__xludf.DUMMYFUNCTION("""COMPUTED_VALUE"""),579.0)</f>
        <v>579</v>
      </c>
      <c r="K182" s="1">
        <f>IFERROR(__xludf.DUMMYFUNCTION("""COMPUTED_VALUE"""),4.0)</f>
        <v>4</v>
      </c>
      <c r="L182" s="1">
        <f>IFERROR(__xludf.DUMMYFUNCTION("""COMPUTED_VALUE"""),1.0)</f>
        <v>1</v>
      </c>
      <c r="M182" s="1" t="str">
        <f>IFERROR(__xludf.DUMMYFUNCTION("""COMPUTED_VALUE"""),"284天")</f>
        <v>284天</v>
      </c>
      <c r="N182" s="1" t="str">
        <f>IFERROR(__xludf.DUMMYFUNCTION("""COMPUTED_VALUE"""),"继承")</f>
        <v>继承</v>
      </c>
      <c r="O182" s="1" t="str">
        <f>IFERROR(__xludf.DUMMYFUNCTION("""COMPUTED_VALUE"""),"宇文邕长子")</f>
        <v>宇文邕长子</v>
      </c>
    </row>
    <row r="183">
      <c r="A183" s="1" t="str">
        <f>IFERROR(__xludf.DUMMYFUNCTION("SPLIT(CSV!A:A,"","")"),"北周")</f>
        <v>北周</v>
      </c>
      <c r="B183" s="1">
        <f>IFERROR(__xludf.DUMMYFUNCTION("""COMPUTED_VALUE"""),5.0)</f>
        <v>5</v>
      </c>
      <c r="C183" s="1" t="str">
        <f>IFERROR(__xludf.DUMMYFUNCTION("""COMPUTED_VALUE"""),"-")</f>
        <v>-</v>
      </c>
      <c r="D183" s="1" t="str">
        <f>IFERROR(__xludf.DUMMYFUNCTION("""COMPUTED_VALUE"""),"静皇帝")</f>
        <v>静皇帝</v>
      </c>
      <c r="E183" s="1" t="str">
        <f>IFERROR(__xludf.DUMMYFUNCTION("""COMPUTED_VALUE"""),"北周静帝")</f>
        <v>北周静帝</v>
      </c>
      <c r="F183" s="1" t="str">
        <f>IFERROR(__xludf.DUMMYFUNCTION("""COMPUTED_VALUE"""),"宇文衍")</f>
        <v>宇文衍</v>
      </c>
      <c r="G183" s="1">
        <f>IFERROR(__xludf.DUMMYFUNCTION("""COMPUTED_VALUE"""),579.0)</f>
        <v>579</v>
      </c>
      <c r="H183" s="1">
        <f>IFERROR(__xludf.DUMMYFUNCTION("""COMPUTED_VALUE"""),4.0)</f>
        <v>4</v>
      </c>
      <c r="I183" s="1">
        <f>IFERROR(__xludf.DUMMYFUNCTION("""COMPUTED_VALUE"""),1.0)</f>
        <v>1</v>
      </c>
      <c r="J183" s="1">
        <f>IFERROR(__xludf.DUMMYFUNCTION("""COMPUTED_VALUE"""),581.0)</f>
        <v>581</v>
      </c>
      <c r="K183" s="1">
        <f>IFERROR(__xludf.DUMMYFUNCTION("""COMPUTED_VALUE"""),3.0)</f>
        <v>3</v>
      </c>
      <c r="L183" s="1">
        <f>IFERROR(__xludf.DUMMYFUNCTION("""COMPUTED_VALUE"""),4.0)</f>
        <v>4</v>
      </c>
      <c r="M183" s="1" t="str">
        <f>IFERROR(__xludf.DUMMYFUNCTION("""COMPUTED_VALUE"""),"1年338天")</f>
        <v>1年338天</v>
      </c>
      <c r="N183" s="1" t="str">
        <f>IFERROR(__xludf.DUMMYFUNCTION("""COMPUTED_VALUE"""),"继承")</f>
        <v>继承</v>
      </c>
      <c r="O183" s="1" t="str">
        <f>IFERROR(__xludf.DUMMYFUNCTION("""COMPUTED_VALUE"""),"宇文赟长子，禅位于杨坚")</f>
        <v>宇文赟长子，禅位于杨坚</v>
      </c>
    </row>
    <row r="184">
      <c r="A184" s="1" t="str">
        <f>IFERROR(__xludf.DUMMYFUNCTION("SPLIT(CSV!A:A,"","")"),"隋朝")</f>
        <v>隋朝</v>
      </c>
      <c r="B184" s="1">
        <f>IFERROR(__xludf.DUMMYFUNCTION("""COMPUTED_VALUE"""),1.0)</f>
        <v>1</v>
      </c>
      <c r="C184" s="1" t="str">
        <f>IFERROR(__xludf.DUMMYFUNCTION("""COMPUTED_VALUE"""),"高祖")</f>
        <v>高祖</v>
      </c>
      <c r="D184" s="1" t="str">
        <f>IFERROR(__xludf.DUMMYFUNCTION("""COMPUTED_VALUE"""),"文皇帝")</f>
        <v>文皇帝</v>
      </c>
      <c r="E184" s="1" t="str">
        <f>IFERROR(__xludf.DUMMYFUNCTION("""COMPUTED_VALUE"""),"隋文帝")</f>
        <v>隋文帝</v>
      </c>
      <c r="F184" s="1" t="str">
        <f>IFERROR(__xludf.DUMMYFUNCTION("""COMPUTED_VALUE"""),"杨坚")</f>
        <v>杨坚</v>
      </c>
      <c r="G184" s="1">
        <f>IFERROR(__xludf.DUMMYFUNCTION("""COMPUTED_VALUE"""),581.0)</f>
        <v>581</v>
      </c>
      <c r="H184" s="1">
        <f>IFERROR(__xludf.DUMMYFUNCTION("""COMPUTED_VALUE"""),3.0)</f>
        <v>3</v>
      </c>
      <c r="I184" s="1">
        <f>IFERROR(__xludf.DUMMYFUNCTION("""COMPUTED_VALUE"""),4.0)</f>
        <v>4</v>
      </c>
      <c r="J184" s="1">
        <f>IFERROR(__xludf.DUMMYFUNCTION("""COMPUTED_VALUE"""),604.0)</f>
        <v>604</v>
      </c>
      <c r="K184" s="1">
        <f>IFERROR(__xludf.DUMMYFUNCTION("""COMPUTED_VALUE"""),8.0)</f>
        <v>8</v>
      </c>
      <c r="L184" s="1">
        <f>IFERROR(__xludf.DUMMYFUNCTION("""COMPUTED_VALUE"""),13.0)</f>
        <v>13</v>
      </c>
      <c r="M184" s="1" t="str">
        <f>IFERROR(__xludf.DUMMYFUNCTION("""COMPUTED_VALUE"""),"23年162天")</f>
        <v>23年162天</v>
      </c>
      <c r="N184" s="1" t="str">
        <f>IFERROR(__xludf.DUMMYFUNCTION("""COMPUTED_VALUE"""),"受禅")</f>
        <v>受禅</v>
      </c>
      <c r="O184" s="1" t="str">
        <f>IFERROR(__xludf.DUMMYFUNCTION("""COMPUTED_VALUE"""),"受北周静帝禅让")</f>
        <v>受北周静帝禅让</v>
      </c>
    </row>
    <row r="185">
      <c r="A185" s="1" t="str">
        <f>IFERROR(__xludf.DUMMYFUNCTION("SPLIT(CSV!A:A,"","")"),"南陈")</f>
        <v>南陈</v>
      </c>
      <c r="B185" s="1">
        <f>IFERROR(__xludf.DUMMYFUNCTION("""COMPUTED_VALUE"""),5.0)</f>
        <v>5</v>
      </c>
      <c r="C185" s="1" t="str">
        <f>IFERROR(__xludf.DUMMYFUNCTION("""COMPUTED_VALUE"""),"-")</f>
        <v>-</v>
      </c>
      <c r="D185" s="1" t="str">
        <f>IFERROR(__xludf.DUMMYFUNCTION("""COMPUTED_VALUE"""),"炀皇帝/后主")</f>
        <v>炀皇帝/后主</v>
      </c>
      <c r="E185" s="1" t="str">
        <f>IFERROR(__xludf.DUMMYFUNCTION("""COMPUTED_VALUE"""),"陈后主")</f>
        <v>陈后主</v>
      </c>
      <c r="F185" s="1" t="str">
        <f>IFERROR(__xludf.DUMMYFUNCTION("""COMPUTED_VALUE"""),"陈叔宝")</f>
        <v>陈叔宝</v>
      </c>
      <c r="G185" s="1">
        <f>IFERROR(__xludf.DUMMYFUNCTION("""COMPUTED_VALUE"""),582.0)</f>
        <v>582</v>
      </c>
      <c r="H185" s="1">
        <f>IFERROR(__xludf.DUMMYFUNCTION("""COMPUTED_VALUE"""),2.0)</f>
        <v>2</v>
      </c>
      <c r="I185" s="1">
        <f>IFERROR(__xludf.DUMMYFUNCTION("""COMPUTED_VALUE"""),17.0)</f>
        <v>17</v>
      </c>
      <c r="J185" s="1">
        <f>IFERROR(__xludf.DUMMYFUNCTION("""COMPUTED_VALUE"""),589.0)</f>
        <v>589</v>
      </c>
      <c r="K185" s="1">
        <f>IFERROR(__xludf.DUMMYFUNCTION("""COMPUTED_VALUE"""),2.0)</f>
        <v>2</v>
      </c>
      <c r="L185" s="1">
        <f>IFERROR(__xludf.DUMMYFUNCTION("""COMPUTED_VALUE"""),10.0)</f>
        <v>10</v>
      </c>
      <c r="M185" s="1" t="str">
        <f>IFERROR(__xludf.DUMMYFUNCTION("""COMPUTED_VALUE"""),"6年358天")</f>
        <v>6年358天</v>
      </c>
      <c r="N185" s="1" t="str">
        <f>IFERROR(__xludf.DUMMYFUNCTION("""COMPUTED_VALUE"""),"继承")</f>
        <v>继承</v>
      </c>
      <c r="O185" s="1" t="str">
        <f>IFERROR(__xludf.DUMMYFUNCTION("""COMPUTED_VALUE"""),"隋灭陈，被俘")</f>
        <v>隋灭陈，被俘</v>
      </c>
    </row>
    <row r="186">
      <c r="A186" s="1" t="str">
        <f>IFERROR(__xludf.DUMMYFUNCTION("SPLIT(CSV!A:A,"","")"),"隋朝")</f>
        <v>隋朝</v>
      </c>
      <c r="B186" s="1">
        <f>IFERROR(__xludf.DUMMYFUNCTION("""COMPUTED_VALUE"""),2.0)</f>
        <v>2</v>
      </c>
      <c r="C186" s="1" t="str">
        <f>IFERROR(__xludf.DUMMYFUNCTION("""COMPUTED_VALUE"""),"世祖")</f>
        <v>世祖</v>
      </c>
      <c r="D186" s="1" t="str">
        <f>IFERROR(__xludf.DUMMYFUNCTION("""COMPUTED_VALUE"""),"炀皇帝")</f>
        <v>炀皇帝</v>
      </c>
      <c r="E186" s="1" t="str">
        <f>IFERROR(__xludf.DUMMYFUNCTION("""COMPUTED_VALUE"""),"隋炀帝")</f>
        <v>隋炀帝</v>
      </c>
      <c r="F186" s="1" t="str">
        <f>IFERROR(__xludf.DUMMYFUNCTION("""COMPUTED_VALUE"""),"杨广")</f>
        <v>杨广</v>
      </c>
      <c r="G186" s="1">
        <f>IFERROR(__xludf.DUMMYFUNCTION("""COMPUTED_VALUE"""),604.0)</f>
        <v>604</v>
      </c>
      <c r="H186" s="1">
        <f>IFERROR(__xludf.DUMMYFUNCTION("""COMPUTED_VALUE"""),7.0)</f>
        <v>7</v>
      </c>
      <c r="I186" s="1">
        <f>IFERROR(__xludf.DUMMYFUNCTION("""COMPUTED_VALUE"""),21.0)</f>
        <v>21</v>
      </c>
      <c r="J186" s="1">
        <f>IFERROR(__xludf.DUMMYFUNCTION("""COMPUTED_VALUE"""),618.0)</f>
        <v>618</v>
      </c>
      <c r="K186" s="1">
        <f>IFERROR(__xludf.DUMMYFUNCTION("""COMPUTED_VALUE"""),4.0)</f>
        <v>4</v>
      </c>
      <c r="L186" s="1">
        <f>IFERROR(__xludf.DUMMYFUNCTION("""COMPUTED_VALUE"""),11.0)</f>
        <v>11</v>
      </c>
      <c r="M186" s="1" t="str">
        <f>IFERROR(__xludf.DUMMYFUNCTION("""COMPUTED_VALUE"""),"13年265天")</f>
        <v>13年265天</v>
      </c>
      <c r="N186" s="1" t="str">
        <f>IFERROR(__xludf.DUMMYFUNCTION("""COMPUTED_VALUE"""),"继承")</f>
        <v>继承</v>
      </c>
      <c r="O186" s="1" t="str">
        <f>IFERROR(__xludf.DUMMYFUNCTION("""COMPUTED_VALUE"""),"隋文帝次子")</f>
        <v>隋文帝次子</v>
      </c>
    </row>
    <row r="187">
      <c r="A187" s="1" t="str">
        <f>IFERROR(__xludf.DUMMYFUNCTION("SPLIT(CSV!A:A,"","")"),"隋朝")</f>
        <v>隋朝</v>
      </c>
      <c r="B187" s="1">
        <f>IFERROR(__xludf.DUMMYFUNCTION("""COMPUTED_VALUE"""),3.0)</f>
        <v>3</v>
      </c>
      <c r="C187" s="1" t="str">
        <f>IFERROR(__xludf.DUMMYFUNCTION("""COMPUTED_VALUE"""),"-")</f>
        <v>-</v>
      </c>
      <c r="D187" s="1" t="str">
        <f>IFERROR(__xludf.DUMMYFUNCTION("""COMPUTED_VALUE"""),"恭皇帝")</f>
        <v>恭皇帝</v>
      </c>
      <c r="E187" s="1" t="str">
        <f>IFERROR(__xludf.DUMMYFUNCTION("""COMPUTED_VALUE"""),"隋恭帝")</f>
        <v>隋恭帝</v>
      </c>
      <c r="F187" s="1" t="str">
        <f>IFERROR(__xludf.DUMMYFUNCTION("""COMPUTED_VALUE"""),"杨侑")</f>
        <v>杨侑</v>
      </c>
      <c r="G187" s="1">
        <f>IFERROR(__xludf.DUMMYFUNCTION("""COMPUTED_VALUE"""),617.0)</f>
        <v>617</v>
      </c>
      <c r="H187" s="1">
        <f>IFERROR(__xludf.DUMMYFUNCTION("""COMPUTED_VALUE"""),10.0)</f>
        <v>10</v>
      </c>
      <c r="I187" s="1">
        <f>IFERROR(__xludf.DUMMYFUNCTION("""COMPUTED_VALUE"""),14.0)</f>
        <v>14</v>
      </c>
      <c r="J187" s="1">
        <f>IFERROR(__xludf.DUMMYFUNCTION("""COMPUTED_VALUE"""),618.0)</f>
        <v>618</v>
      </c>
      <c r="K187" s="1">
        <f>IFERROR(__xludf.DUMMYFUNCTION("""COMPUTED_VALUE"""),6.0)</f>
        <v>6</v>
      </c>
      <c r="L187" s="1">
        <f>IFERROR(__xludf.DUMMYFUNCTION("""COMPUTED_VALUE"""),18.0)</f>
        <v>18</v>
      </c>
      <c r="M187" s="1" t="str">
        <f>IFERROR(__xludf.DUMMYFUNCTION("""COMPUTED_VALUE"""),"248天")</f>
        <v>248天</v>
      </c>
      <c r="N187" s="1" t="str">
        <f>IFERROR(__xludf.DUMMYFUNCTION("""COMPUTED_VALUE"""),"篡立")</f>
        <v>篡立</v>
      </c>
      <c r="O187" s="1" t="str">
        <f>IFERROR(__xludf.DUMMYFUNCTION("""COMPUTED_VALUE"""),"李渊立为傀儡，后禅让李渊")</f>
        <v>李渊立为傀儡，后禅让李渊</v>
      </c>
    </row>
    <row r="188">
      <c r="A188" s="1" t="str">
        <f>IFERROR(__xludf.DUMMYFUNCTION("SPLIT(CSV!A:A,"","")"),"隋朝")</f>
        <v>隋朝</v>
      </c>
      <c r="B188" s="1">
        <f>IFERROR(__xludf.DUMMYFUNCTION("""COMPUTED_VALUE"""),4.0)</f>
        <v>4</v>
      </c>
      <c r="C188" s="1" t="str">
        <f>IFERROR(__xludf.DUMMYFUNCTION("""COMPUTED_VALUE"""),"-")</f>
        <v>-</v>
      </c>
      <c r="D188" s="1" t="str">
        <f>IFERROR(__xludf.DUMMYFUNCTION("""COMPUTED_VALUE"""),"-")</f>
        <v>-</v>
      </c>
      <c r="E188" s="1" t="str">
        <f>IFERROR(__xludf.DUMMYFUNCTION("""COMPUTED_VALUE"""),"隋秦王")</f>
        <v>隋秦王</v>
      </c>
      <c r="F188" s="1" t="str">
        <f>IFERROR(__xludf.DUMMYFUNCTION("""COMPUTED_VALUE"""),"杨浩")</f>
        <v>杨浩</v>
      </c>
      <c r="G188" s="1">
        <f>IFERROR(__xludf.DUMMYFUNCTION("""COMPUTED_VALUE"""),618.0)</f>
        <v>618</v>
      </c>
      <c r="H188" s="1">
        <f>IFERROR(__xludf.DUMMYFUNCTION("""COMPUTED_VALUE"""),4.0)</f>
        <v>4</v>
      </c>
      <c r="I188" s="1">
        <f>IFERROR(__xludf.DUMMYFUNCTION("""COMPUTED_VALUE"""),11.0)</f>
        <v>11</v>
      </c>
      <c r="J188" s="1">
        <f>IFERROR(__xludf.DUMMYFUNCTION("""COMPUTED_VALUE"""),618.0)</f>
        <v>618</v>
      </c>
      <c r="K188" s="1">
        <f>IFERROR(__xludf.DUMMYFUNCTION("""COMPUTED_VALUE"""),9.0)</f>
        <v>9</v>
      </c>
      <c r="L188" s="1">
        <f>IFERROR(__xludf.DUMMYFUNCTION("""COMPUTED_VALUE"""),5.0)</f>
        <v>5</v>
      </c>
      <c r="M188" s="1" t="str">
        <f>IFERROR(__xludf.DUMMYFUNCTION("""COMPUTED_VALUE"""),"147天")</f>
        <v>147天</v>
      </c>
      <c r="N188" s="1" t="str">
        <f>IFERROR(__xludf.DUMMYFUNCTION("""COMPUTED_VALUE"""),"篡立")</f>
        <v>篡立</v>
      </c>
      <c r="O188" s="1" t="str">
        <f>IFERROR(__xludf.DUMMYFUNCTION("""COMPUTED_VALUE"""),"宇文化及立为傀儡")</f>
        <v>宇文化及立为傀儡</v>
      </c>
    </row>
    <row r="189">
      <c r="A189" s="1" t="str">
        <f>IFERROR(__xludf.DUMMYFUNCTION("SPLIT(CSV!A:A,"","")"),"唐朝")</f>
        <v>唐朝</v>
      </c>
      <c r="B189" s="1">
        <f>IFERROR(__xludf.DUMMYFUNCTION("""COMPUTED_VALUE"""),1.0)</f>
        <v>1</v>
      </c>
      <c r="C189" s="1" t="str">
        <f>IFERROR(__xludf.DUMMYFUNCTION("""COMPUTED_VALUE"""),"高祖")</f>
        <v>高祖</v>
      </c>
      <c r="D189" s="1" t="str">
        <f>IFERROR(__xludf.DUMMYFUNCTION("""COMPUTED_VALUE"""),"神尧大圣大光孝皇帝")</f>
        <v>神尧大圣大光孝皇帝</v>
      </c>
      <c r="E189" s="1" t="str">
        <f>IFERROR(__xludf.DUMMYFUNCTION("""COMPUTED_VALUE"""),"唐高祖")</f>
        <v>唐高祖</v>
      </c>
      <c r="F189" s="1" t="str">
        <f>IFERROR(__xludf.DUMMYFUNCTION("""COMPUTED_VALUE"""),"李渊")</f>
        <v>李渊</v>
      </c>
      <c r="G189" s="1">
        <f>IFERROR(__xludf.DUMMYFUNCTION("""COMPUTED_VALUE"""),618.0)</f>
        <v>618</v>
      </c>
      <c r="H189" s="1">
        <f>IFERROR(__xludf.DUMMYFUNCTION("""COMPUTED_VALUE"""),6.0)</f>
        <v>6</v>
      </c>
      <c r="I189" s="1">
        <f>IFERROR(__xludf.DUMMYFUNCTION("""COMPUTED_VALUE"""),18.0)</f>
        <v>18</v>
      </c>
      <c r="J189" s="1">
        <f>IFERROR(__xludf.DUMMYFUNCTION("""COMPUTED_VALUE"""),626.0)</f>
        <v>626</v>
      </c>
      <c r="K189" s="1">
        <f>IFERROR(__xludf.DUMMYFUNCTION("""COMPUTED_VALUE"""),9.0)</f>
        <v>9</v>
      </c>
      <c r="L189" s="1">
        <f>IFERROR(__xludf.DUMMYFUNCTION("""COMPUTED_VALUE"""),4.0)</f>
        <v>4</v>
      </c>
      <c r="M189" s="1" t="str">
        <f>IFERROR(__xludf.DUMMYFUNCTION("""COMPUTED_VALUE"""),"8年78天")</f>
        <v>8年78天</v>
      </c>
      <c r="N189" s="1" t="str">
        <f>IFERROR(__xludf.DUMMYFUNCTION("""COMPUTED_VALUE"""),"受禅")</f>
        <v>受禅</v>
      </c>
      <c r="O189" s="1" t="str">
        <f>IFERROR(__xludf.DUMMYFUNCTION("""COMPUTED_VALUE"""),"受隋恭帝禅让")</f>
        <v>受隋恭帝禅让</v>
      </c>
    </row>
    <row r="190">
      <c r="A190" s="1" t="str">
        <f>IFERROR(__xludf.DUMMYFUNCTION("SPLIT(CSV!A:A,"","")"),"隋朝")</f>
        <v>隋朝</v>
      </c>
      <c r="B190" s="1">
        <f>IFERROR(__xludf.DUMMYFUNCTION("""COMPUTED_VALUE"""),5.0)</f>
        <v>5</v>
      </c>
      <c r="C190" s="1" t="str">
        <f>IFERROR(__xludf.DUMMYFUNCTION("""COMPUTED_VALUE"""),"-")</f>
        <v>-</v>
      </c>
      <c r="D190" s="1" t="str">
        <f>IFERROR(__xludf.DUMMYFUNCTION("""COMPUTED_VALUE"""),"恭皇帝")</f>
        <v>恭皇帝</v>
      </c>
      <c r="E190" s="1" t="str">
        <f>IFERROR(__xludf.DUMMYFUNCTION("""COMPUTED_VALUE"""),"皇泰主")</f>
        <v>皇泰主</v>
      </c>
      <c r="F190" s="1" t="str">
        <f>IFERROR(__xludf.DUMMYFUNCTION("""COMPUTED_VALUE"""),"杨侗")</f>
        <v>杨侗</v>
      </c>
      <c r="G190" s="1">
        <f>IFERROR(__xludf.DUMMYFUNCTION("""COMPUTED_VALUE"""),618.0)</f>
        <v>618</v>
      </c>
      <c r="H190" s="1">
        <f>IFERROR(__xludf.DUMMYFUNCTION("""COMPUTED_VALUE"""),6.0)</f>
        <v>6</v>
      </c>
      <c r="I190" s="1">
        <f>IFERROR(__xludf.DUMMYFUNCTION("""COMPUTED_VALUE"""),22.0)</f>
        <v>22</v>
      </c>
      <c r="J190" s="1">
        <f>IFERROR(__xludf.DUMMYFUNCTION("""COMPUTED_VALUE"""),619.0)</f>
        <v>619</v>
      </c>
      <c r="K190" s="1">
        <f>IFERROR(__xludf.DUMMYFUNCTION("""COMPUTED_VALUE"""),5.0)</f>
        <v>5</v>
      </c>
      <c r="L190" s="1">
        <f>IFERROR(__xludf.DUMMYFUNCTION("""COMPUTED_VALUE"""),23.0)</f>
        <v>23</v>
      </c>
      <c r="M190" s="1" t="str">
        <f>IFERROR(__xludf.DUMMYFUNCTION("""COMPUTED_VALUE"""),"335天")</f>
        <v>335天</v>
      </c>
      <c r="N190" s="1" t="str">
        <f>IFERROR(__xludf.DUMMYFUNCTION("""COMPUTED_VALUE"""),"继承")</f>
        <v>继承</v>
      </c>
      <c r="O190" s="1" t="str">
        <f>IFERROR(__xludf.DUMMYFUNCTION("""COMPUTED_VALUE"""),"隋炀帝之孙，王世充立，后被迫禅位")</f>
        <v>隋炀帝之孙，王世充立，后被迫禅位</v>
      </c>
    </row>
    <row r="191">
      <c r="A191" s="1" t="str">
        <f>IFERROR(__xludf.DUMMYFUNCTION("SPLIT(CSV!A:A,"","")"),"唐朝")</f>
        <v>唐朝</v>
      </c>
      <c r="B191" s="1">
        <f>IFERROR(__xludf.DUMMYFUNCTION("""COMPUTED_VALUE"""),2.0)</f>
        <v>2</v>
      </c>
      <c r="C191" s="1" t="str">
        <f>IFERROR(__xludf.DUMMYFUNCTION("""COMPUTED_VALUE"""),"太宗")</f>
        <v>太宗</v>
      </c>
      <c r="D191" s="1" t="str">
        <f>IFERROR(__xludf.DUMMYFUNCTION("""COMPUTED_VALUE"""),"文武大圣大广孝皇帝")</f>
        <v>文武大圣大广孝皇帝</v>
      </c>
      <c r="E191" s="1" t="str">
        <f>IFERROR(__xludf.DUMMYFUNCTION("""COMPUTED_VALUE"""),"唐太宗")</f>
        <v>唐太宗</v>
      </c>
      <c r="F191" s="1" t="str">
        <f>IFERROR(__xludf.DUMMYFUNCTION("""COMPUTED_VALUE"""),"李世民")</f>
        <v>李世民</v>
      </c>
      <c r="G191" s="1">
        <f>IFERROR(__xludf.DUMMYFUNCTION("""COMPUTED_VALUE"""),626.0)</f>
        <v>626</v>
      </c>
      <c r="H191" s="1">
        <f>IFERROR(__xludf.DUMMYFUNCTION("""COMPUTED_VALUE"""),9.0)</f>
        <v>9</v>
      </c>
      <c r="I191" s="1">
        <f>IFERROR(__xludf.DUMMYFUNCTION("""COMPUTED_VALUE"""),4.0)</f>
        <v>4</v>
      </c>
      <c r="J191" s="1">
        <f>IFERROR(__xludf.DUMMYFUNCTION("""COMPUTED_VALUE"""),649.0)</f>
        <v>649</v>
      </c>
      <c r="K191" s="1">
        <f>IFERROR(__xludf.DUMMYFUNCTION("""COMPUTED_VALUE"""),7.0)</f>
        <v>7</v>
      </c>
      <c r="L191" s="1">
        <f>IFERROR(__xludf.DUMMYFUNCTION("""COMPUTED_VALUE"""),10.0)</f>
        <v>10</v>
      </c>
      <c r="M191" s="1" t="str">
        <f>IFERROR(__xludf.DUMMYFUNCTION("""COMPUTED_VALUE"""),"22年309天")</f>
        <v>22年309天</v>
      </c>
      <c r="N191" s="1" t="str">
        <f>IFERROR(__xludf.DUMMYFUNCTION("""COMPUTED_VALUE"""),"政变")</f>
        <v>政变</v>
      </c>
      <c r="O191" s="1" t="str">
        <f>IFERROR(__xludf.DUMMYFUNCTION("""COMPUTED_VALUE"""),"玄武门之变后即位")</f>
        <v>玄武门之变后即位</v>
      </c>
    </row>
    <row r="192">
      <c r="A192" s="1" t="str">
        <f>IFERROR(__xludf.DUMMYFUNCTION("SPLIT(CSV!A:A,"","")"),"唐朝")</f>
        <v>唐朝</v>
      </c>
      <c r="B192" s="1">
        <f>IFERROR(__xludf.DUMMYFUNCTION("""COMPUTED_VALUE"""),3.0)</f>
        <v>3</v>
      </c>
      <c r="C192" s="1" t="str">
        <f>IFERROR(__xludf.DUMMYFUNCTION("""COMPUTED_VALUE"""),"高宗")</f>
        <v>高宗</v>
      </c>
      <c r="D192" s="1" t="str">
        <f>IFERROR(__xludf.DUMMYFUNCTION("""COMPUTED_VALUE"""),"天皇大圣大弘孝皇帝")</f>
        <v>天皇大圣大弘孝皇帝</v>
      </c>
      <c r="E192" s="1" t="str">
        <f>IFERROR(__xludf.DUMMYFUNCTION("""COMPUTED_VALUE"""),"唐高宗")</f>
        <v>唐高宗</v>
      </c>
      <c r="F192" s="1" t="str">
        <f>IFERROR(__xludf.DUMMYFUNCTION("""COMPUTED_VALUE"""),"李治")</f>
        <v>李治</v>
      </c>
      <c r="G192" s="1">
        <f>IFERROR(__xludf.DUMMYFUNCTION("""COMPUTED_VALUE"""),649.0)</f>
        <v>649</v>
      </c>
      <c r="H192" s="1">
        <f>IFERROR(__xludf.DUMMYFUNCTION("""COMPUTED_VALUE"""),7.0)</f>
        <v>7</v>
      </c>
      <c r="I192" s="1">
        <f>IFERROR(__xludf.DUMMYFUNCTION("""COMPUTED_VALUE"""),15.0)</f>
        <v>15</v>
      </c>
      <c r="J192" s="1">
        <f>IFERROR(__xludf.DUMMYFUNCTION("""COMPUTED_VALUE"""),683.0)</f>
        <v>683</v>
      </c>
      <c r="K192" s="1">
        <f>IFERROR(__xludf.DUMMYFUNCTION("""COMPUTED_VALUE"""),12.0)</f>
        <v>12</v>
      </c>
      <c r="L192" s="1">
        <f>IFERROR(__xludf.DUMMYFUNCTION("""COMPUTED_VALUE"""),27.0)</f>
        <v>27</v>
      </c>
      <c r="M192" s="1" t="str">
        <f>IFERROR(__xludf.DUMMYFUNCTION("""COMPUTED_VALUE"""),"34年165天")</f>
        <v>34年165天</v>
      </c>
      <c r="N192" s="1" t="str">
        <f>IFERROR(__xludf.DUMMYFUNCTION("""COMPUTED_VALUE"""),"继承")</f>
        <v>继承</v>
      </c>
      <c r="O192" s="1" t="str">
        <f>IFERROR(__xludf.DUMMYFUNCTION("""COMPUTED_VALUE"""),"唐太宗第九子")</f>
        <v>唐太宗第九子</v>
      </c>
    </row>
    <row r="193">
      <c r="A193" s="1" t="str">
        <f>IFERROR(__xludf.DUMMYFUNCTION("SPLIT(CSV!A:A,"","")"),"唐朝")</f>
        <v>唐朝</v>
      </c>
      <c r="B193" s="1">
        <f>IFERROR(__xludf.DUMMYFUNCTION("""COMPUTED_VALUE"""),4.0)</f>
        <v>4</v>
      </c>
      <c r="C193" s="1" t="str">
        <f>IFERROR(__xludf.DUMMYFUNCTION("""COMPUTED_VALUE"""),"中宗")</f>
        <v>中宗</v>
      </c>
      <c r="D193" s="1" t="str">
        <f>IFERROR(__xludf.DUMMYFUNCTION("""COMPUTED_VALUE"""),"大和大圣大昭孝皇帝")</f>
        <v>大和大圣大昭孝皇帝</v>
      </c>
      <c r="E193" s="1" t="str">
        <f>IFERROR(__xludf.DUMMYFUNCTION("""COMPUTED_VALUE"""),"唐中宗")</f>
        <v>唐中宗</v>
      </c>
      <c r="F193" s="1" t="str">
        <f>IFERROR(__xludf.DUMMYFUNCTION("""COMPUTED_VALUE"""),"李显")</f>
        <v>李显</v>
      </c>
      <c r="G193" s="1">
        <f>IFERROR(__xludf.DUMMYFUNCTION("""COMPUTED_VALUE"""),684.0)</f>
        <v>684</v>
      </c>
      <c r="H193" s="1">
        <f>IFERROR(__xludf.DUMMYFUNCTION("""COMPUTED_VALUE"""),1.0)</f>
        <v>1</v>
      </c>
      <c r="I193" s="1">
        <f>IFERROR(__xludf.DUMMYFUNCTION("""COMPUTED_VALUE"""),3.0)</f>
        <v>3</v>
      </c>
      <c r="J193" s="1">
        <f>IFERROR(__xludf.DUMMYFUNCTION("""COMPUTED_VALUE"""),684.0)</f>
        <v>684</v>
      </c>
      <c r="K193" s="1">
        <f>IFERROR(__xludf.DUMMYFUNCTION("""COMPUTED_VALUE"""),2.0)</f>
        <v>2</v>
      </c>
      <c r="L193" s="1">
        <f>IFERROR(__xludf.DUMMYFUNCTION("""COMPUTED_VALUE"""),26.0)</f>
        <v>26</v>
      </c>
      <c r="M193" s="1" t="str">
        <f>IFERROR(__xludf.DUMMYFUNCTION("""COMPUTED_VALUE"""),"54天")</f>
        <v>54天</v>
      </c>
      <c r="N193" s="1" t="str">
        <f>IFERROR(__xludf.DUMMYFUNCTION("""COMPUTED_VALUE"""),"继承")</f>
        <v>继承</v>
      </c>
      <c r="O193" s="1" t="str">
        <f>IFERROR(__xludf.DUMMYFUNCTION("""COMPUTED_VALUE"""),"唐高宗第七子，第一次在位")</f>
        <v>唐高宗第七子，第一次在位</v>
      </c>
    </row>
    <row r="194">
      <c r="A194" s="1" t="str">
        <f>IFERROR(__xludf.DUMMYFUNCTION("SPLIT(CSV!A:A,"","")"),"唐朝")</f>
        <v>唐朝</v>
      </c>
      <c r="B194" s="1">
        <f>IFERROR(__xludf.DUMMYFUNCTION("""COMPUTED_VALUE"""),5.0)</f>
        <v>5</v>
      </c>
      <c r="C194" s="1" t="str">
        <f>IFERROR(__xludf.DUMMYFUNCTION("""COMPUTED_VALUE"""),"睿宗")</f>
        <v>睿宗</v>
      </c>
      <c r="D194" s="1" t="str">
        <f>IFERROR(__xludf.DUMMYFUNCTION("""COMPUTED_VALUE"""),"玄真大圣大兴孝皇帝")</f>
        <v>玄真大圣大兴孝皇帝</v>
      </c>
      <c r="E194" s="1" t="str">
        <f>IFERROR(__xludf.DUMMYFUNCTION("""COMPUTED_VALUE"""),"唐睿宗")</f>
        <v>唐睿宗</v>
      </c>
      <c r="F194" s="1" t="str">
        <f>IFERROR(__xludf.DUMMYFUNCTION("""COMPUTED_VALUE"""),"李旦")</f>
        <v>李旦</v>
      </c>
      <c r="G194" s="1">
        <f>IFERROR(__xludf.DUMMYFUNCTION("""COMPUTED_VALUE"""),684.0)</f>
        <v>684</v>
      </c>
      <c r="H194" s="1">
        <f>IFERROR(__xludf.DUMMYFUNCTION("""COMPUTED_VALUE"""),2.0)</f>
        <v>2</v>
      </c>
      <c r="I194" s="1">
        <f>IFERROR(__xludf.DUMMYFUNCTION("""COMPUTED_VALUE"""),27.0)</f>
        <v>27</v>
      </c>
      <c r="J194" s="1">
        <f>IFERROR(__xludf.DUMMYFUNCTION("""COMPUTED_VALUE"""),690.0)</f>
        <v>690</v>
      </c>
      <c r="K194" s="1">
        <f>IFERROR(__xludf.DUMMYFUNCTION("""COMPUTED_VALUE"""),10.0)</f>
        <v>10</v>
      </c>
      <c r="L194" s="1">
        <f>IFERROR(__xludf.DUMMYFUNCTION("""COMPUTED_VALUE"""),16.0)</f>
        <v>16</v>
      </c>
      <c r="M194" s="1" t="str">
        <f>IFERROR(__xludf.DUMMYFUNCTION("""COMPUTED_VALUE"""),"6年231天")</f>
        <v>6年231天</v>
      </c>
      <c r="N194" s="1" t="str">
        <f>IFERROR(__xludf.DUMMYFUNCTION("""COMPUTED_VALUE"""),"继承")</f>
        <v>继承</v>
      </c>
      <c r="O194" s="1" t="str">
        <f>IFERROR(__xludf.DUMMYFUNCTION("""COMPUTED_VALUE"""),"唐高宗第八子，第一次在位")</f>
        <v>唐高宗第八子，第一次在位</v>
      </c>
    </row>
    <row r="195">
      <c r="A195" s="1" t="str">
        <f>IFERROR(__xludf.DUMMYFUNCTION("SPLIT(CSV!A:A,"","")"),"武周")</f>
        <v>武周</v>
      </c>
      <c r="B195" s="1">
        <f>IFERROR(__xludf.DUMMYFUNCTION("""COMPUTED_VALUE"""),1.0)</f>
        <v>1</v>
      </c>
      <c r="C195" s="1" t="str">
        <f>IFERROR(__xludf.DUMMYFUNCTION("""COMPUTED_VALUE"""),"-")</f>
        <v>-</v>
      </c>
      <c r="D195" s="1" t="str">
        <f>IFERROR(__xludf.DUMMYFUNCTION("""COMPUTED_VALUE"""),"则天顺圣皇后/则天大圣皇帝")</f>
        <v>则天顺圣皇后/则天大圣皇帝</v>
      </c>
      <c r="E195" s="1" t="str">
        <f>IFERROR(__xludf.DUMMYFUNCTION("""COMPUTED_VALUE"""),"武则天")</f>
        <v>武则天</v>
      </c>
      <c r="F195" s="1" t="str">
        <f>IFERROR(__xludf.DUMMYFUNCTION("""COMPUTED_VALUE"""),"武曌")</f>
        <v>武曌</v>
      </c>
      <c r="G195" s="1">
        <f>IFERROR(__xludf.DUMMYFUNCTION("""COMPUTED_VALUE"""),690.0)</f>
        <v>690</v>
      </c>
      <c r="H195" s="1">
        <f>IFERROR(__xludf.DUMMYFUNCTION("""COMPUTED_VALUE"""),10.0)</f>
        <v>10</v>
      </c>
      <c r="I195" s="1">
        <f>IFERROR(__xludf.DUMMYFUNCTION("""COMPUTED_VALUE"""),16.0)</f>
        <v>16</v>
      </c>
      <c r="J195" s="1">
        <f>IFERROR(__xludf.DUMMYFUNCTION("""COMPUTED_VALUE"""),705.0)</f>
        <v>705</v>
      </c>
      <c r="K195" s="1">
        <f>IFERROR(__xludf.DUMMYFUNCTION("""COMPUTED_VALUE"""),2.0)</f>
        <v>2</v>
      </c>
      <c r="L195" s="1">
        <f>IFERROR(__xludf.DUMMYFUNCTION("""COMPUTED_VALUE"""),21.0)</f>
        <v>21</v>
      </c>
      <c r="M195" s="1" t="str">
        <f>IFERROR(__xludf.DUMMYFUNCTION("""COMPUTED_VALUE"""),"14年128天")</f>
        <v>14年128天</v>
      </c>
      <c r="N195" s="1" t="str">
        <f>IFERROR(__xludf.DUMMYFUNCTION("""COMPUTED_VALUE"""),"革命")</f>
        <v>革命</v>
      </c>
      <c r="O195" s="1" t="str">
        <f>IFERROR(__xludf.DUMMYFUNCTION("""COMPUTED_VALUE"""),"废唐建周，中国唯一正统女皇帝")</f>
        <v>废唐建周，中国唯一正统女皇帝</v>
      </c>
    </row>
    <row r="196">
      <c r="A196" s="1" t="str">
        <f>IFERROR(__xludf.DUMMYFUNCTION("SPLIT(CSV!A:A,"","")"),"唐朝")</f>
        <v>唐朝</v>
      </c>
      <c r="B196" s="1">
        <f>IFERROR(__xludf.DUMMYFUNCTION("""COMPUTED_VALUE"""),6.0)</f>
        <v>6</v>
      </c>
      <c r="C196" s="1" t="str">
        <f>IFERROR(__xludf.DUMMYFUNCTION("""COMPUTED_VALUE"""),"中宗")</f>
        <v>中宗</v>
      </c>
      <c r="D196" s="1" t="str">
        <f>IFERROR(__xludf.DUMMYFUNCTION("""COMPUTED_VALUE"""),"大和大圣大昭孝皇帝")</f>
        <v>大和大圣大昭孝皇帝</v>
      </c>
      <c r="E196" s="1" t="str">
        <f>IFERROR(__xludf.DUMMYFUNCTION("""COMPUTED_VALUE"""),"唐中宗")</f>
        <v>唐中宗</v>
      </c>
      <c r="F196" s="1" t="str">
        <f>IFERROR(__xludf.DUMMYFUNCTION("""COMPUTED_VALUE"""),"李显")</f>
        <v>李显</v>
      </c>
      <c r="G196" s="1">
        <f>IFERROR(__xludf.DUMMYFUNCTION("""COMPUTED_VALUE"""),705.0)</f>
        <v>705</v>
      </c>
      <c r="H196" s="1">
        <f>IFERROR(__xludf.DUMMYFUNCTION("""COMPUTED_VALUE"""),2.0)</f>
        <v>2</v>
      </c>
      <c r="I196" s="1">
        <f>IFERROR(__xludf.DUMMYFUNCTION("""COMPUTED_VALUE"""),23.0)</f>
        <v>23</v>
      </c>
      <c r="J196" s="1">
        <f>IFERROR(__xludf.DUMMYFUNCTION("""COMPUTED_VALUE"""),710.0)</f>
        <v>710</v>
      </c>
      <c r="K196" s="1">
        <f>IFERROR(__xludf.DUMMYFUNCTION("""COMPUTED_VALUE"""),7.0)</f>
        <v>7</v>
      </c>
      <c r="L196" s="1">
        <f>IFERROR(__xludf.DUMMYFUNCTION("""COMPUTED_VALUE"""),3.0)</f>
        <v>3</v>
      </c>
      <c r="M196" s="1" t="str">
        <f>IFERROR(__xludf.DUMMYFUNCTION("""COMPUTED_VALUE"""),"5年130天")</f>
        <v>5年130天</v>
      </c>
      <c r="N196" s="1" t="str">
        <f>IFERROR(__xludf.DUMMYFUNCTION("""COMPUTED_VALUE"""),"复辟")</f>
        <v>复辟</v>
      </c>
      <c r="O196" s="1" t="str">
        <f>IFERROR(__xludf.DUMMYFUNCTION("""COMPUTED_VALUE"""),"神龙革命后复位，第二次在位")</f>
        <v>神龙革命后复位，第二次在位</v>
      </c>
    </row>
    <row r="197">
      <c r="A197" s="1" t="str">
        <f>IFERROR(__xludf.DUMMYFUNCTION("SPLIT(CSV!A:A,"","")"),"唐朝")</f>
        <v>唐朝</v>
      </c>
      <c r="B197" s="1">
        <f>IFERROR(__xludf.DUMMYFUNCTION("""COMPUTED_VALUE"""),7.0)</f>
        <v>7</v>
      </c>
      <c r="C197" s="1" t="str">
        <f>IFERROR(__xludf.DUMMYFUNCTION("""COMPUTED_VALUE"""),"-")</f>
        <v>-</v>
      </c>
      <c r="D197" s="1" t="str">
        <f>IFERROR(__xludf.DUMMYFUNCTION("""COMPUTED_VALUE"""),"殇皇帝")</f>
        <v>殇皇帝</v>
      </c>
      <c r="E197" s="1" t="str">
        <f>IFERROR(__xludf.DUMMYFUNCTION("""COMPUTED_VALUE"""),"唐殇帝")</f>
        <v>唐殇帝</v>
      </c>
      <c r="F197" s="1" t="str">
        <f>IFERROR(__xludf.DUMMYFUNCTION("""COMPUTED_VALUE"""),"李重茂")</f>
        <v>李重茂</v>
      </c>
      <c r="G197" s="1">
        <f>IFERROR(__xludf.DUMMYFUNCTION("""COMPUTED_VALUE"""),710.0)</f>
        <v>710</v>
      </c>
      <c r="H197" s="1">
        <f>IFERROR(__xludf.DUMMYFUNCTION("""COMPUTED_VALUE"""),7.0)</f>
        <v>7</v>
      </c>
      <c r="I197" s="1">
        <f>IFERROR(__xludf.DUMMYFUNCTION("""COMPUTED_VALUE"""),8.0)</f>
        <v>8</v>
      </c>
      <c r="J197" s="1">
        <f>IFERROR(__xludf.DUMMYFUNCTION("""COMPUTED_VALUE"""),710.0)</f>
        <v>710</v>
      </c>
      <c r="K197" s="1">
        <f>IFERROR(__xludf.DUMMYFUNCTION("""COMPUTED_VALUE"""),7.0)</f>
        <v>7</v>
      </c>
      <c r="L197" s="1">
        <f>IFERROR(__xludf.DUMMYFUNCTION("""COMPUTED_VALUE"""),25.0)</f>
        <v>25</v>
      </c>
      <c r="M197" s="1" t="str">
        <f>IFERROR(__xludf.DUMMYFUNCTION("""COMPUTED_VALUE"""),"17天")</f>
        <v>17天</v>
      </c>
      <c r="N197" s="1" t="str">
        <f>IFERROR(__xludf.DUMMYFUNCTION("""COMPUTED_VALUE"""),"继承")</f>
        <v>继承</v>
      </c>
      <c r="O197" s="1" t="str">
        <f>IFERROR(__xludf.DUMMYFUNCTION("""COMPUTED_VALUE"""),"唐中宗第四子")</f>
        <v>唐中宗第四子</v>
      </c>
    </row>
    <row r="198">
      <c r="A198" s="1" t="str">
        <f>IFERROR(__xludf.DUMMYFUNCTION("SPLIT(CSV!A:A,"","")"),"唐朝")</f>
        <v>唐朝</v>
      </c>
      <c r="B198" s="1">
        <f>IFERROR(__xludf.DUMMYFUNCTION("""COMPUTED_VALUE"""),8.0)</f>
        <v>8</v>
      </c>
      <c r="C198" s="1" t="str">
        <f>IFERROR(__xludf.DUMMYFUNCTION("""COMPUTED_VALUE"""),"睿宗")</f>
        <v>睿宗</v>
      </c>
      <c r="D198" s="1" t="str">
        <f>IFERROR(__xludf.DUMMYFUNCTION("""COMPUTED_VALUE"""),"玄真大圣大兴孝皇帝")</f>
        <v>玄真大圣大兴孝皇帝</v>
      </c>
      <c r="E198" s="1" t="str">
        <f>IFERROR(__xludf.DUMMYFUNCTION("""COMPUTED_VALUE"""),"唐睿宗")</f>
        <v>唐睿宗</v>
      </c>
      <c r="F198" s="1" t="str">
        <f>IFERROR(__xludf.DUMMYFUNCTION("""COMPUTED_VALUE"""),"李旦")</f>
        <v>李旦</v>
      </c>
      <c r="G198" s="1">
        <f>IFERROR(__xludf.DUMMYFUNCTION("""COMPUTED_VALUE"""),710.0)</f>
        <v>710</v>
      </c>
      <c r="H198" s="1">
        <f>IFERROR(__xludf.DUMMYFUNCTION("""COMPUTED_VALUE"""),7.0)</f>
        <v>7</v>
      </c>
      <c r="I198" s="1">
        <f>IFERROR(__xludf.DUMMYFUNCTION("""COMPUTED_VALUE"""),25.0)</f>
        <v>25</v>
      </c>
      <c r="J198" s="1">
        <f>IFERROR(__xludf.DUMMYFUNCTION("""COMPUTED_VALUE"""),712.0)</f>
        <v>712</v>
      </c>
      <c r="K198" s="1">
        <f>IFERROR(__xludf.DUMMYFUNCTION("""COMPUTED_VALUE"""),9.0)</f>
        <v>9</v>
      </c>
      <c r="L198" s="1">
        <f>IFERROR(__xludf.DUMMYFUNCTION("""COMPUTED_VALUE"""),8.0)</f>
        <v>8</v>
      </c>
      <c r="M198" s="1" t="str">
        <f>IFERROR(__xludf.DUMMYFUNCTION("""COMPUTED_VALUE"""),"2年45天")</f>
        <v>2年45天</v>
      </c>
      <c r="N198" s="1" t="str">
        <f>IFERROR(__xludf.DUMMYFUNCTION("""COMPUTED_VALUE"""),"政变")</f>
        <v>政变</v>
      </c>
      <c r="O198" s="1" t="str">
        <f>IFERROR(__xludf.DUMMYFUNCTION("""COMPUTED_VALUE"""),"唐隆政变后复位，第二次在位")</f>
        <v>唐隆政变后复位，第二次在位</v>
      </c>
    </row>
    <row r="199">
      <c r="A199" s="1" t="str">
        <f>IFERROR(__xludf.DUMMYFUNCTION("SPLIT(CSV!A:A,"","")"),"唐朝")</f>
        <v>唐朝</v>
      </c>
      <c r="B199" s="1">
        <f>IFERROR(__xludf.DUMMYFUNCTION("""COMPUTED_VALUE"""),9.0)</f>
        <v>9</v>
      </c>
      <c r="C199" s="1" t="str">
        <f>IFERROR(__xludf.DUMMYFUNCTION("""COMPUTED_VALUE"""),"玄宗")</f>
        <v>玄宗</v>
      </c>
      <c r="D199" s="1" t="str">
        <f>IFERROR(__xludf.DUMMYFUNCTION("""COMPUTED_VALUE"""),"至道大圣大明孝皇帝")</f>
        <v>至道大圣大明孝皇帝</v>
      </c>
      <c r="E199" s="1" t="str">
        <f>IFERROR(__xludf.DUMMYFUNCTION("""COMPUTED_VALUE"""),"唐玄宗")</f>
        <v>唐玄宗</v>
      </c>
      <c r="F199" s="1" t="str">
        <f>IFERROR(__xludf.DUMMYFUNCTION("""COMPUTED_VALUE"""),"李隆基")</f>
        <v>李隆基</v>
      </c>
      <c r="G199" s="1">
        <f>IFERROR(__xludf.DUMMYFUNCTION("""COMPUTED_VALUE"""),712.0)</f>
        <v>712</v>
      </c>
      <c r="H199" s="1">
        <f>IFERROR(__xludf.DUMMYFUNCTION("""COMPUTED_VALUE"""),9.0)</f>
        <v>9</v>
      </c>
      <c r="I199" s="1">
        <f>IFERROR(__xludf.DUMMYFUNCTION("""COMPUTED_VALUE"""),8.0)</f>
        <v>8</v>
      </c>
      <c r="J199" s="1">
        <f>IFERROR(__xludf.DUMMYFUNCTION("""COMPUTED_VALUE"""),756.0)</f>
        <v>756</v>
      </c>
      <c r="K199" s="1">
        <f>IFERROR(__xludf.DUMMYFUNCTION("""COMPUTED_VALUE"""),8.0)</f>
        <v>8</v>
      </c>
      <c r="L199" s="1">
        <f>IFERROR(__xludf.DUMMYFUNCTION("""COMPUTED_VALUE"""),1.0)</f>
        <v>1</v>
      </c>
      <c r="M199" s="1" t="str">
        <f>IFERROR(__xludf.DUMMYFUNCTION("""COMPUTED_VALUE"""),"43年328天")</f>
        <v>43年328天</v>
      </c>
      <c r="N199" s="1" t="str">
        <f>IFERROR(__xludf.DUMMYFUNCTION("""COMPUTED_VALUE"""),"继承")</f>
        <v>继承</v>
      </c>
      <c r="O199" s="1" t="str">
        <f>IFERROR(__xludf.DUMMYFUNCTION("""COMPUTED_VALUE"""),"唐睿宗第三子")</f>
        <v>唐睿宗第三子</v>
      </c>
    </row>
    <row r="200">
      <c r="A200" s="1" t="str">
        <f>IFERROR(__xludf.DUMMYFUNCTION("SPLIT(CSV!A:A,"","")"),"唐朝")</f>
        <v>唐朝</v>
      </c>
      <c r="B200" s="1">
        <f>IFERROR(__xludf.DUMMYFUNCTION("""COMPUTED_VALUE"""),10.0)</f>
        <v>10</v>
      </c>
      <c r="C200" s="1" t="str">
        <f>IFERROR(__xludf.DUMMYFUNCTION("""COMPUTED_VALUE"""),"肃宗")</f>
        <v>肃宗</v>
      </c>
      <c r="D200" s="1" t="str">
        <f>IFERROR(__xludf.DUMMYFUNCTION("""COMPUTED_VALUE"""),"文明武德大圣大宣孝皇帝")</f>
        <v>文明武德大圣大宣孝皇帝</v>
      </c>
      <c r="E200" s="1" t="str">
        <f>IFERROR(__xludf.DUMMYFUNCTION("""COMPUTED_VALUE"""),"唐肃宗")</f>
        <v>唐肃宗</v>
      </c>
      <c r="F200" s="1" t="str">
        <f>IFERROR(__xludf.DUMMYFUNCTION("""COMPUTED_VALUE"""),"李亨")</f>
        <v>李亨</v>
      </c>
      <c r="G200" s="1">
        <f>IFERROR(__xludf.DUMMYFUNCTION("""COMPUTED_VALUE"""),756.0)</f>
        <v>756</v>
      </c>
      <c r="H200" s="1">
        <f>IFERROR(__xludf.DUMMYFUNCTION("""COMPUTED_VALUE"""),8.0)</f>
        <v>8</v>
      </c>
      <c r="I200" s="1">
        <f>IFERROR(__xludf.DUMMYFUNCTION("""COMPUTED_VALUE"""),12.0)</f>
        <v>12</v>
      </c>
      <c r="J200" s="1">
        <f>IFERROR(__xludf.DUMMYFUNCTION("""COMPUTED_VALUE"""),762.0)</f>
        <v>762</v>
      </c>
      <c r="K200" s="1">
        <f>IFERROR(__xludf.DUMMYFUNCTION("""COMPUTED_VALUE"""),5.0)</f>
        <v>5</v>
      </c>
      <c r="L200" s="1">
        <f>IFERROR(__xludf.DUMMYFUNCTION("""COMPUTED_VALUE"""),16.0)</f>
        <v>16</v>
      </c>
      <c r="M200" s="1" t="str">
        <f>IFERROR(__xludf.DUMMYFUNCTION("""COMPUTED_VALUE"""),"5年277天")</f>
        <v>5年277天</v>
      </c>
      <c r="N200" s="1" t="str">
        <f>IFERROR(__xludf.DUMMYFUNCTION("""COMPUTED_VALUE"""),"自立")</f>
        <v>自立</v>
      </c>
      <c r="O200" s="1" t="str">
        <f>IFERROR(__xludf.DUMMYFUNCTION("""COMPUTED_VALUE"""),"安史之乱中于灵武自立")</f>
        <v>安史之乱中于灵武自立</v>
      </c>
    </row>
    <row r="201">
      <c r="A201" s="1" t="str">
        <f>IFERROR(__xludf.DUMMYFUNCTION("SPLIT(CSV!A:A,"","")"),"唐朝")</f>
        <v>唐朝</v>
      </c>
      <c r="B201" s="1">
        <f>IFERROR(__xludf.DUMMYFUNCTION("""COMPUTED_VALUE"""),11.0)</f>
        <v>11</v>
      </c>
      <c r="C201" s="1" t="str">
        <f>IFERROR(__xludf.DUMMYFUNCTION("""COMPUTED_VALUE"""),"代宗")</f>
        <v>代宗</v>
      </c>
      <c r="D201" s="1" t="str">
        <f>IFERROR(__xludf.DUMMYFUNCTION("""COMPUTED_VALUE"""),"睿文孝武皇帝")</f>
        <v>睿文孝武皇帝</v>
      </c>
      <c r="E201" s="1" t="str">
        <f>IFERROR(__xludf.DUMMYFUNCTION("""COMPUTED_VALUE"""),"唐代宗")</f>
        <v>唐代宗</v>
      </c>
      <c r="F201" s="1" t="str">
        <f>IFERROR(__xludf.DUMMYFUNCTION("""COMPUTED_VALUE"""),"李豫")</f>
        <v>李豫</v>
      </c>
      <c r="G201" s="1">
        <f>IFERROR(__xludf.DUMMYFUNCTION("""COMPUTED_VALUE"""),762.0)</f>
        <v>762</v>
      </c>
      <c r="H201" s="1">
        <f>IFERROR(__xludf.DUMMYFUNCTION("""COMPUTED_VALUE"""),5.0)</f>
        <v>5</v>
      </c>
      <c r="I201" s="1">
        <f>IFERROR(__xludf.DUMMYFUNCTION("""COMPUTED_VALUE"""),18.0)</f>
        <v>18</v>
      </c>
      <c r="J201" s="1">
        <f>IFERROR(__xludf.DUMMYFUNCTION("""COMPUTED_VALUE"""),779.0)</f>
        <v>779</v>
      </c>
      <c r="K201" s="1">
        <f>IFERROR(__xludf.DUMMYFUNCTION("""COMPUTED_VALUE"""),6.0)</f>
        <v>6</v>
      </c>
      <c r="L201" s="1">
        <f>IFERROR(__xludf.DUMMYFUNCTION("""COMPUTED_VALUE"""),10.0)</f>
        <v>10</v>
      </c>
      <c r="M201" s="1" t="str">
        <f>IFERROR(__xludf.DUMMYFUNCTION("""COMPUTED_VALUE"""),"17年23天")</f>
        <v>17年23天</v>
      </c>
      <c r="N201" s="1" t="str">
        <f>IFERROR(__xludf.DUMMYFUNCTION("""COMPUTED_VALUE"""),"继承")</f>
        <v>继承</v>
      </c>
      <c r="O201" s="1" t="str">
        <f>IFERROR(__xludf.DUMMYFUNCTION("""COMPUTED_VALUE"""),"唐肃宗长子")</f>
        <v>唐肃宗长子</v>
      </c>
    </row>
    <row r="202">
      <c r="A202" s="1" t="str">
        <f>IFERROR(__xludf.DUMMYFUNCTION("SPLIT(CSV!A:A,"","")"),"唐朝")</f>
        <v>唐朝</v>
      </c>
      <c r="B202" s="1">
        <f>IFERROR(__xludf.DUMMYFUNCTION("""COMPUTED_VALUE"""),12.0)</f>
        <v>12</v>
      </c>
      <c r="C202" s="1" t="str">
        <f>IFERROR(__xludf.DUMMYFUNCTION("""COMPUTED_VALUE"""),"德宗")</f>
        <v>德宗</v>
      </c>
      <c r="D202" s="1" t="str">
        <f>IFERROR(__xludf.DUMMYFUNCTION("""COMPUTED_VALUE"""),"神武孝文皇帝")</f>
        <v>神武孝文皇帝</v>
      </c>
      <c r="E202" s="1" t="str">
        <f>IFERROR(__xludf.DUMMYFUNCTION("""COMPUTED_VALUE"""),"唐德宗")</f>
        <v>唐德宗</v>
      </c>
      <c r="F202" s="1" t="str">
        <f>IFERROR(__xludf.DUMMYFUNCTION("""COMPUTED_VALUE"""),"李适")</f>
        <v>李适</v>
      </c>
      <c r="G202" s="1">
        <f>IFERROR(__xludf.DUMMYFUNCTION("""COMPUTED_VALUE"""),779.0)</f>
        <v>779</v>
      </c>
      <c r="H202" s="1">
        <f>IFERROR(__xludf.DUMMYFUNCTION("""COMPUTED_VALUE"""),6.0)</f>
        <v>6</v>
      </c>
      <c r="I202" s="1">
        <f>IFERROR(__xludf.DUMMYFUNCTION("""COMPUTED_VALUE"""),12.0)</f>
        <v>12</v>
      </c>
      <c r="J202" s="1">
        <f>IFERROR(__xludf.DUMMYFUNCTION("""COMPUTED_VALUE"""),805.0)</f>
        <v>805</v>
      </c>
      <c r="K202" s="1">
        <f>IFERROR(__xludf.DUMMYFUNCTION("""COMPUTED_VALUE"""),2.0)</f>
        <v>2</v>
      </c>
      <c r="L202" s="1">
        <f>IFERROR(__xludf.DUMMYFUNCTION("""COMPUTED_VALUE"""),25.0)</f>
        <v>25</v>
      </c>
      <c r="M202" s="1" t="str">
        <f>IFERROR(__xludf.DUMMYFUNCTION("""COMPUTED_VALUE"""),"25年258天")</f>
        <v>25年258天</v>
      </c>
      <c r="N202" s="1" t="str">
        <f>IFERROR(__xludf.DUMMYFUNCTION("""COMPUTED_VALUE"""),"继承")</f>
        <v>继承</v>
      </c>
      <c r="O202" s="1" t="str">
        <f>IFERROR(__xludf.DUMMYFUNCTION("""COMPUTED_VALUE"""),"唐代宗长子")</f>
        <v>唐代宗长子</v>
      </c>
    </row>
    <row r="203">
      <c r="A203" s="1" t="str">
        <f>IFERROR(__xludf.DUMMYFUNCTION("SPLIT(CSV!A:A,"","")"),"唐朝")</f>
        <v>唐朝</v>
      </c>
      <c r="B203" s="1">
        <f>IFERROR(__xludf.DUMMYFUNCTION("""COMPUTED_VALUE"""),13.0)</f>
        <v>13</v>
      </c>
      <c r="C203" s="1" t="str">
        <f>IFERROR(__xludf.DUMMYFUNCTION("""COMPUTED_VALUE"""),"顺宗")</f>
        <v>顺宗</v>
      </c>
      <c r="D203" s="1" t="str">
        <f>IFERROR(__xludf.DUMMYFUNCTION("""COMPUTED_VALUE"""),"至德大圣大安孝皇帝")</f>
        <v>至德大圣大安孝皇帝</v>
      </c>
      <c r="E203" s="1" t="str">
        <f>IFERROR(__xludf.DUMMYFUNCTION("""COMPUTED_VALUE"""),"唐顺宗")</f>
        <v>唐顺宗</v>
      </c>
      <c r="F203" s="1" t="str">
        <f>IFERROR(__xludf.DUMMYFUNCTION("""COMPUTED_VALUE"""),"李诵")</f>
        <v>李诵</v>
      </c>
      <c r="G203" s="1">
        <f>IFERROR(__xludf.DUMMYFUNCTION("""COMPUTED_VALUE"""),805.0)</f>
        <v>805</v>
      </c>
      <c r="H203" s="1">
        <f>IFERROR(__xludf.DUMMYFUNCTION("""COMPUTED_VALUE"""),2.0)</f>
        <v>2</v>
      </c>
      <c r="I203" s="1">
        <f>IFERROR(__xludf.DUMMYFUNCTION("""COMPUTED_VALUE"""),28.0)</f>
        <v>28</v>
      </c>
      <c r="J203" s="1">
        <f>IFERROR(__xludf.DUMMYFUNCTION("""COMPUTED_VALUE"""),805.0)</f>
        <v>805</v>
      </c>
      <c r="K203" s="1">
        <f>IFERROR(__xludf.DUMMYFUNCTION("""COMPUTED_VALUE"""),9.0)</f>
        <v>9</v>
      </c>
      <c r="L203" s="1">
        <f>IFERROR(__xludf.DUMMYFUNCTION("""COMPUTED_VALUE"""),5.0)</f>
        <v>5</v>
      </c>
      <c r="M203" s="1" t="str">
        <f>IFERROR(__xludf.DUMMYFUNCTION("""COMPUTED_VALUE"""),"190天")</f>
        <v>190天</v>
      </c>
      <c r="N203" s="1" t="str">
        <f>IFERROR(__xludf.DUMMYFUNCTION("""COMPUTED_VALUE"""),"继承")</f>
        <v>继承</v>
      </c>
      <c r="O203" s="1" t="str">
        <f>IFERROR(__xludf.DUMMYFUNCTION("""COMPUTED_VALUE"""),"唐德宗长子")</f>
        <v>唐德宗长子</v>
      </c>
    </row>
    <row r="204">
      <c r="A204" s="1" t="str">
        <f>IFERROR(__xludf.DUMMYFUNCTION("SPLIT(CSV!A:A,"","")"),"唐朝")</f>
        <v>唐朝</v>
      </c>
      <c r="B204" s="1">
        <f>IFERROR(__xludf.DUMMYFUNCTION("""COMPUTED_VALUE"""),14.0)</f>
        <v>14</v>
      </c>
      <c r="C204" s="1" t="str">
        <f>IFERROR(__xludf.DUMMYFUNCTION("""COMPUTED_VALUE"""),"宪宗")</f>
        <v>宪宗</v>
      </c>
      <c r="D204" s="1" t="str">
        <f>IFERROR(__xludf.DUMMYFUNCTION("""COMPUTED_VALUE"""),"昭文章武大圣至神孝皇帝")</f>
        <v>昭文章武大圣至神孝皇帝</v>
      </c>
      <c r="E204" s="1" t="str">
        <f>IFERROR(__xludf.DUMMYFUNCTION("""COMPUTED_VALUE"""),"唐宪宗")</f>
        <v>唐宪宗</v>
      </c>
      <c r="F204" s="1" t="str">
        <f>IFERROR(__xludf.DUMMYFUNCTION("""COMPUTED_VALUE"""),"李纯")</f>
        <v>李纯</v>
      </c>
      <c r="G204" s="1">
        <f>IFERROR(__xludf.DUMMYFUNCTION("""COMPUTED_VALUE"""),805.0)</f>
        <v>805</v>
      </c>
      <c r="H204" s="1">
        <f>IFERROR(__xludf.DUMMYFUNCTION("""COMPUTED_VALUE"""),9.0)</f>
        <v>9</v>
      </c>
      <c r="I204" s="1">
        <f>IFERROR(__xludf.DUMMYFUNCTION("""COMPUTED_VALUE"""),5.0)</f>
        <v>5</v>
      </c>
      <c r="J204" s="1">
        <f>IFERROR(__xludf.DUMMYFUNCTION("""COMPUTED_VALUE"""),820.0)</f>
        <v>820</v>
      </c>
      <c r="K204" s="1">
        <f>IFERROR(__xludf.DUMMYFUNCTION("""COMPUTED_VALUE"""),2.0)</f>
        <v>2</v>
      </c>
      <c r="L204" s="1">
        <f>IFERROR(__xludf.DUMMYFUNCTION("""COMPUTED_VALUE"""),14.0)</f>
        <v>14</v>
      </c>
      <c r="M204" s="1" t="str">
        <f>IFERROR(__xludf.DUMMYFUNCTION("""COMPUTED_VALUE"""),"14年162天")</f>
        <v>14年162天</v>
      </c>
      <c r="N204" s="1" t="str">
        <f>IFERROR(__xludf.DUMMYFUNCTION("""COMPUTED_VALUE"""),"继承")</f>
        <v>继承</v>
      </c>
      <c r="O204" s="1" t="str">
        <f>IFERROR(__xludf.DUMMYFUNCTION("""COMPUTED_VALUE"""),"唐顺宗长子")</f>
        <v>唐顺宗长子</v>
      </c>
    </row>
    <row r="205">
      <c r="A205" s="1" t="str">
        <f>IFERROR(__xludf.DUMMYFUNCTION("SPLIT(CSV!A:A,"","")"),"唐朝")</f>
        <v>唐朝</v>
      </c>
      <c r="B205" s="1">
        <f>IFERROR(__xludf.DUMMYFUNCTION("""COMPUTED_VALUE"""),15.0)</f>
        <v>15</v>
      </c>
      <c r="C205" s="1" t="str">
        <f>IFERROR(__xludf.DUMMYFUNCTION("""COMPUTED_VALUE"""),"穆宗")</f>
        <v>穆宗</v>
      </c>
      <c r="D205" s="1" t="str">
        <f>IFERROR(__xludf.DUMMYFUNCTION("""COMPUTED_VALUE"""),"睿圣文惠孝皇帝")</f>
        <v>睿圣文惠孝皇帝</v>
      </c>
      <c r="E205" s="1" t="str">
        <f>IFERROR(__xludf.DUMMYFUNCTION("""COMPUTED_VALUE"""),"唐穆宗")</f>
        <v>唐穆宗</v>
      </c>
      <c r="F205" s="1" t="str">
        <f>IFERROR(__xludf.DUMMYFUNCTION("""COMPUTED_VALUE"""),"李恒")</f>
        <v>李恒</v>
      </c>
      <c r="G205" s="1">
        <f>IFERROR(__xludf.DUMMYFUNCTION("""COMPUTED_VALUE"""),820.0)</f>
        <v>820</v>
      </c>
      <c r="H205" s="1">
        <f>IFERROR(__xludf.DUMMYFUNCTION("""COMPUTED_VALUE"""),2.0)</f>
        <v>2</v>
      </c>
      <c r="I205" s="1">
        <f>IFERROR(__xludf.DUMMYFUNCTION("""COMPUTED_VALUE"""),20.0)</f>
        <v>20</v>
      </c>
      <c r="J205" s="1">
        <f>IFERROR(__xludf.DUMMYFUNCTION("""COMPUTED_VALUE"""),824.0)</f>
        <v>824</v>
      </c>
      <c r="K205" s="1">
        <f>IFERROR(__xludf.DUMMYFUNCTION("""COMPUTED_VALUE"""),2.0)</f>
        <v>2</v>
      </c>
      <c r="L205" s="1">
        <f>IFERROR(__xludf.DUMMYFUNCTION("""COMPUTED_VALUE"""),25.0)</f>
        <v>25</v>
      </c>
      <c r="M205" s="1" t="str">
        <f>IFERROR(__xludf.DUMMYFUNCTION("""COMPUTED_VALUE"""),"4年5天")</f>
        <v>4年5天</v>
      </c>
      <c r="N205" s="1" t="str">
        <f>IFERROR(__xludf.DUMMYFUNCTION("""COMPUTED_VALUE"""),"继承")</f>
        <v>继承</v>
      </c>
      <c r="O205" s="1" t="str">
        <f>IFERROR(__xludf.DUMMYFUNCTION("""COMPUTED_VALUE"""),"唐宪宗第三子")</f>
        <v>唐宪宗第三子</v>
      </c>
    </row>
    <row r="206">
      <c r="A206" s="1" t="str">
        <f>IFERROR(__xludf.DUMMYFUNCTION("SPLIT(CSV!A:A,"","")"),"唐朝")</f>
        <v>唐朝</v>
      </c>
      <c r="B206" s="1">
        <f>IFERROR(__xludf.DUMMYFUNCTION("""COMPUTED_VALUE"""),16.0)</f>
        <v>16</v>
      </c>
      <c r="C206" s="1" t="str">
        <f>IFERROR(__xludf.DUMMYFUNCTION("""COMPUTED_VALUE"""),"敬宗")</f>
        <v>敬宗</v>
      </c>
      <c r="D206" s="1" t="str">
        <f>IFERROR(__xludf.DUMMYFUNCTION("""COMPUTED_VALUE"""),"睿武昭愍孝皇帝")</f>
        <v>睿武昭愍孝皇帝</v>
      </c>
      <c r="E206" s="1" t="str">
        <f>IFERROR(__xludf.DUMMYFUNCTION("""COMPUTED_VALUE"""),"唐敬宗")</f>
        <v>唐敬宗</v>
      </c>
      <c r="F206" s="1" t="str">
        <f>IFERROR(__xludf.DUMMYFUNCTION("""COMPUTED_VALUE"""),"李湛")</f>
        <v>李湛</v>
      </c>
      <c r="G206" s="1">
        <f>IFERROR(__xludf.DUMMYFUNCTION("""COMPUTED_VALUE"""),824.0)</f>
        <v>824</v>
      </c>
      <c r="H206" s="1">
        <f>IFERROR(__xludf.DUMMYFUNCTION("""COMPUTED_VALUE"""),2.0)</f>
        <v>2</v>
      </c>
      <c r="I206" s="1">
        <f>IFERROR(__xludf.DUMMYFUNCTION("""COMPUTED_VALUE"""),29.0)</f>
        <v>29</v>
      </c>
      <c r="J206" s="1">
        <f>IFERROR(__xludf.DUMMYFUNCTION("""COMPUTED_VALUE"""),827.0)</f>
        <v>827</v>
      </c>
      <c r="K206" s="1">
        <f>IFERROR(__xludf.DUMMYFUNCTION("""COMPUTED_VALUE"""),1.0)</f>
        <v>1</v>
      </c>
      <c r="L206" s="1">
        <f>IFERROR(__xludf.DUMMYFUNCTION("""COMPUTED_VALUE"""),9.0)</f>
        <v>9</v>
      </c>
      <c r="M206" s="1" t="str">
        <f>IFERROR(__xludf.DUMMYFUNCTION("""COMPUTED_VALUE"""),"2年315天")</f>
        <v>2年315天</v>
      </c>
      <c r="N206" s="1" t="str">
        <f>IFERROR(__xludf.DUMMYFUNCTION("""COMPUTED_VALUE"""),"继承")</f>
        <v>继承</v>
      </c>
      <c r="O206" s="1" t="str">
        <f>IFERROR(__xludf.DUMMYFUNCTION("""COMPUTED_VALUE"""),"唐穆宗长子")</f>
        <v>唐穆宗长子</v>
      </c>
    </row>
    <row r="207">
      <c r="A207" s="1" t="str">
        <f>IFERROR(__xludf.DUMMYFUNCTION("SPLIT(CSV!A:A,"","")"),"唐朝")</f>
        <v>唐朝</v>
      </c>
      <c r="B207" s="1">
        <f>IFERROR(__xludf.DUMMYFUNCTION("""COMPUTED_VALUE"""),17.0)</f>
        <v>17</v>
      </c>
      <c r="C207" s="1" t="str">
        <f>IFERROR(__xludf.DUMMYFUNCTION("""COMPUTED_VALUE"""),"文宗")</f>
        <v>文宗</v>
      </c>
      <c r="D207" s="1" t="str">
        <f>IFERROR(__xludf.DUMMYFUNCTION("""COMPUTED_VALUE"""),"元圣昭献孝皇帝")</f>
        <v>元圣昭献孝皇帝</v>
      </c>
      <c r="E207" s="1" t="str">
        <f>IFERROR(__xludf.DUMMYFUNCTION("""COMPUTED_VALUE"""),"唐文宗")</f>
        <v>唐文宗</v>
      </c>
      <c r="F207" s="1" t="str">
        <f>IFERROR(__xludf.DUMMYFUNCTION("""COMPUTED_VALUE"""),"李昂")</f>
        <v>李昂</v>
      </c>
      <c r="G207" s="1">
        <f>IFERROR(__xludf.DUMMYFUNCTION("""COMPUTED_VALUE"""),827.0)</f>
        <v>827</v>
      </c>
      <c r="H207" s="1">
        <f>IFERROR(__xludf.DUMMYFUNCTION("""COMPUTED_VALUE"""),1.0)</f>
        <v>1</v>
      </c>
      <c r="I207" s="1">
        <f>IFERROR(__xludf.DUMMYFUNCTION("""COMPUTED_VALUE"""),13.0)</f>
        <v>13</v>
      </c>
      <c r="J207" s="1">
        <f>IFERROR(__xludf.DUMMYFUNCTION("""COMPUTED_VALUE"""),840.0)</f>
        <v>840</v>
      </c>
      <c r="K207" s="1">
        <f>IFERROR(__xludf.DUMMYFUNCTION("""COMPUTED_VALUE"""),2.0)</f>
        <v>2</v>
      </c>
      <c r="L207" s="1">
        <f>IFERROR(__xludf.DUMMYFUNCTION("""COMPUTED_VALUE"""),10.0)</f>
        <v>10</v>
      </c>
      <c r="M207" s="1" t="str">
        <f>IFERROR(__xludf.DUMMYFUNCTION("""COMPUTED_VALUE"""),"13年28天")</f>
        <v>13年28天</v>
      </c>
      <c r="N207" s="1" t="str">
        <f>IFERROR(__xludf.DUMMYFUNCTION("""COMPUTED_VALUE"""),"继承")</f>
        <v>继承</v>
      </c>
      <c r="O207" s="1" t="str">
        <f>IFERROR(__xludf.DUMMYFUNCTION("""COMPUTED_VALUE"""),"唐穆宗次子")</f>
        <v>唐穆宗次子</v>
      </c>
    </row>
    <row r="208">
      <c r="A208" s="1" t="str">
        <f>IFERROR(__xludf.DUMMYFUNCTION("SPLIT(CSV!A:A,"","")"),"唐朝")</f>
        <v>唐朝</v>
      </c>
      <c r="B208" s="1">
        <f>IFERROR(__xludf.DUMMYFUNCTION("""COMPUTED_VALUE"""),18.0)</f>
        <v>18</v>
      </c>
      <c r="C208" s="1" t="str">
        <f>IFERROR(__xludf.DUMMYFUNCTION("""COMPUTED_VALUE"""),"武宗")</f>
        <v>武宗</v>
      </c>
      <c r="D208" s="1" t="str">
        <f>IFERROR(__xludf.DUMMYFUNCTION("""COMPUTED_VALUE"""),"至道昭肃孝皇帝")</f>
        <v>至道昭肃孝皇帝</v>
      </c>
      <c r="E208" s="1" t="str">
        <f>IFERROR(__xludf.DUMMYFUNCTION("""COMPUTED_VALUE"""),"唐武宗")</f>
        <v>唐武宗</v>
      </c>
      <c r="F208" s="1" t="str">
        <f>IFERROR(__xludf.DUMMYFUNCTION("""COMPUTED_VALUE"""),"李炎")</f>
        <v>李炎</v>
      </c>
      <c r="G208" s="1">
        <f>IFERROR(__xludf.DUMMYFUNCTION("""COMPUTED_VALUE"""),840.0)</f>
        <v>840</v>
      </c>
      <c r="H208" s="1">
        <f>IFERROR(__xludf.DUMMYFUNCTION("""COMPUTED_VALUE"""),2.0)</f>
        <v>2</v>
      </c>
      <c r="I208" s="1">
        <f>IFERROR(__xludf.DUMMYFUNCTION("""COMPUTED_VALUE"""),20.0)</f>
        <v>20</v>
      </c>
      <c r="J208" s="1">
        <f>IFERROR(__xludf.DUMMYFUNCTION("""COMPUTED_VALUE"""),846.0)</f>
        <v>846</v>
      </c>
      <c r="K208" s="1">
        <f>IFERROR(__xludf.DUMMYFUNCTION("""COMPUTED_VALUE"""),4.0)</f>
        <v>4</v>
      </c>
      <c r="L208" s="1">
        <f>IFERROR(__xludf.DUMMYFUNCTION("""COMPUTED_VALUE"""),22.0)</f>
        <v>22</v>
      </c>
      <c r="M208" s="1" t="str">
        <f>IFERROR(__xludf.DUMMYFUNCTION("""COMPUTED_VALUE"""),"6年61天")</f>
        <v>6年61天</v>
      </c>
      <c r="N208" s="1" t="str">
        <f>IFERROR(__xludf.DUMMYFUNCTION("""COMPUTED_VALUE"""),"继承")</f>
        <v>继承</v>
      </c>
      <c r="O208" s="1" t="str">
        <f>IFERROR(__xludf.DUMMYFUNCTION("""COMPUTED_VALUE"""),"唐穆宗第五子")</f>
        <v>唐穆宗第五子</v>
      </c>
    </row>
    <row r="209">
      <c r="A209" s="1" t="str">
        <f>IFERROR(__xludf.DUMMYFUNCTION("SPLIT(CSV!A:A,"","")"),"唐朝")</f>
        <v>唐朝</v>
      </c>
      <c r="B209" s="1">
        <f>IFERROR(__xludf.DUMMYFUNCTION("""COMPUTED_VALUE"""),19.0)</f>
        <v>19</v>
      </c>
      <c r="C209" s="1" t="str">
        <f>IFERROR(__xludf.DUMMYFUNCTION("""COMPUTED_VALUE"""),"宣宗")</f>
        <v>宣宗</v>
      </c>
      <c r="D209" s="1" t="str">
        <f>IFERROR(__xludf.DUMMYFUNCTION("""COMPUTED_VALUE"""),"元圣至明成武献文睿智章仁神聪懿道大孝皇帝")</f>
        <v>元圣至明成武献文睿智章仁神聪懿道大孝皇帝</v>
      </c>
      <c r="E209" s="1" t="str">
        <f>IFERROR(__xludf.DUMMYFUNCTION("""COMPUTED_VALUE"""),"唐宣宗")</f>
        <v>唐宣宗</v>
      </c>
      <c r="F209" s="1" t="str">
        <f>IFERROR(__xludf.DUMMYFUNCTION("""COMPUTED_VALUE"""),"李忱")</f>
        <v>李忱</v>
      </c>
      <c r="G209" s="1">
        <f>IFERROR(__xludf.DUMMYFUNCTION("""COMPUTED_VALUE"""),846.0)</f>
        <v>846</v>
      </c>
      <c r="H209" s="1">
        <f>IFERROR(__xludf.DUMMYFUNCTION("""COMPUTED_VALUE"""),4.0)</f>
        <v>4</v>
      </c>
      <c r="I209" s="1">
        <f>IFERROR(__xludf.DUMMYFUNCTION("""COMPUTED_VALUE"""),22.0)</f>
        <v>22</v>
      </c>
      <c r="J209" s="1">
        <f>IFERROR(__xludf.DUMMYFUNCTION("""COMPUTED_VALUE"""),859.0)</f>
        <v>859</v>
      </c>
      <c r="K209" s="1">
        <f>IFERROR(__xludf.DUMMYFUNCTION("""COMPUTED_VALUE"""),9.0)</f>
        <v>9</v>
      </c>
      <c r="L209" s="1">
        <f>IFERROR(__xludf.DUMMYFUNCTION("""COMPUTED_VALUE"""),10.0)</f>
        <v>10</v>
      </c>
      <c r="M209" s="1" t="str">
        <f>IFERROR(__xludf.DUMMYFUNCTION("""COMPUTED_VALUE"""),"13年141天")</f>
        <v>13年141天</v>
      </c>
      <c r="N209" s="1" t="str">
        <f>IFERROR(__xludf.DUMMYFUNCTION("""COMPUTED_VALUE"""),"继承")</f>
        <v>继承</v>
      </c>
      <c r="O209" s="1" t="str">
        <f>IFERROR(__xludf.DUMMYFUNCTION("""COMPUTED_VALUE"""),"唐宪宗第十三子")</f>
        <v>唐宪宗第十三子</v>
      </c>
    </row>
    <row r="210">
      <c r="A210" s="1" t="str">
        <f>IFERROR(__xludf.DUMMYFUNCTION("SPLIT(CSV!A:A,"","")"),"唐朝")</f>
        <v>唐朝</v>
      </c>
      <c r="B210" s="1">
        <f>IFERROR(__xludf.DUMMYFUNCTION("""COMPUTED_VALUE"""),20.0)</f>
        <v>20</v>
      </c>
      <c r="C210" s="1" t="str">
        <f>IFERROR(__xludf.DUMMYFUNCTION("""COMPUTED_VALUE"""),"懿宗")</f>
        <v>懿宗</v>
      </c>
      <c r="D210" s="1" t="str">
        <f>IFERROR(__xludf.DUMMYFUNCTION("""COMPUTED_VALUE"""),"昭圣恭惠孝皇帝")</f>
        <v>昭圣恭惠孝皇帝</v>
      </c>
      <c r="E210" s="1" t="str">
        <f>IFERROR(__xludf.DUMMYFUNCTION("""COMPUTED_VALUE"""),"唐懿宗")</f>
        <v>唐懿宗</v>
      </c>
      <c r="F210" s="1" t="str">
        <f>IFERROR(__xludf.DUMMYFUNCTION("""COMPUTED_VALUE"""),"李漼")</f>
        <v>李漼</v>
      </c>
      <c r="G210" s="1">
        <f>IFERROR(__xludf.DUMMYFUNCTION("""COMPUTED_VALUE"""),859.0)</f>
        <v>859</v>
      </c>
      <c r="H210" s="1">
        <f>IFERROR(__xludf.DUMMYFUNCTION("""COMPUTED_VALUE"""),9.0)</f>
        <v>9</v>
      </c>
      <c r="I210" s="1">
        <f>IFERROR(__xludf.DUMMYFUNCTION("""COMPUTED_VALUE"""),10.0)</f>
        <v>10</v>
      </c>
      <c r="J210" s="1">
        <f>IFERROR(__xludf.DUMMYFUNCTION("""COMPUTED_VALUE"""),873.0)</f>
        <v>873</v>
      </c>
      <c r="K210" s="1">
        <f>IFERROR(__xludf.DUMMYFUNCTION("""COMPUTED_VALUE"""),8.0)</f>
        <v>8</v>
      </c>
      <c r="L210" s="1">
        <f>IFERROR(__xludf.DUMMYFUNCTION("""COMPUTED_VALUE"""),15.0)</f>
        <v>15</v>
      </c>
      <c r="M210" s="1" t="str">
        <f>IFERROR(__xludf.DUMMYFUNCTION("""COMPUTED_VALUE"""),"13年339天")</f>
        <v>13年339天</v>
      </c>
      <c r="N210" s="1" t="str">
        <f>IFERROR(__xludf.DUMMYFUNCTION("""COMPUTED_VALUE"""),"继承")</f>
        <v>继承</v>
      </c>
      <c r="O210" s="1" t="str">
        <f>IFERROR(__xludf.DUMMYFUNCTION("""COMPUTED_VALUE"""),"唐宣宗长子")</f>
        <v>唐宣宗长子</v>
      </c>
    </row>
    <row r="211">
      <c r="A211" s="1" t="str">
        <f>IFERROR(__xludf.DUMMYFUNCTION("SPLIT(CSV!A:A,"","")"),"唐朝")</f>
        <v>唐朝</v>
      </c>
      <c r="B211" s="1">
        <f>IFERROR(__xludf.DUMMYFUNCTION("""COMPUTED_VALUE"""),21.0)</f>
        <v>21</v>
      </c>
      <c r="C211" s="1" t="str">
        <f>IFERROR(__xludf.DUMMYFUNCTION("""COMPUTED_VALUE"""),"僖宗")</f>
        <v>僖宗</v>
      </c>
      <c r="D211" s="1" t="str">
        <f>IFERROR(__xludf.DUMMYFUNCTION("""COMPUTED_VALUE"""),"惠圣恭定孝皇帝")</f>
        <v>惠圣恭定孝皇帝</v>
      </c>
      <c r="E211" s="1" t="str">
        <f>IFERROR(__xludf.DUMMYFUNCTION("""COMPUTED_VALUE"""),"唐僖宗")</f>
        <v>唐僖宗</v>
      </c>
      <c r="F211" s="1" t="str">
        <f>IFERROR(__xludf.DUMMYFUNCTION("""COMPUTED_VALUE"""),"李儇")</f>
        <v>李儇</v>
      </c>
      <c r="G211" s="1">
        <f>IFERROR(__xludf.DUMMYFUNCTION("""COMPUTED_VALUE"""),873.0)</f>
        <v>873</v>
      </c>
      <c r="H211" s="1">
        <f>IFERROR(__xludf.DUMMYFUNCTION("""COMPUTED_VALUE"""),8.0)</f>
        <v>8</v>
      </c>
      <c r="I211" s="1">
        <f>IFERROR(__xludf.DUMMYFUNCTION("""COMPUTED_VALUE"""),16.0)</f>
        <v>16</v>
      </c>
      <c r="J211" s="1">
        <f>IFERROR(__xludf.DUMMYFUNCTION("""COMPUTED_VALUE"""),888.0)</f>
        <v>888</v>
      </c>
      <c r="K211" s="1">
        <f>IFERROR(__xludf.DUMMYFUNCTION("""COMPUTED_VALUE"""),4.0)</f>
        <v>4</v>
      </c>
      <c r="L211" s="1">
        <f>IFERROR(__xludf.DUMMYFUNCTION("""COMPUTED_VALUE"""),20.0)</f>
        <v>20</v>
      </c>
      <c r="M211" s="1" t="str">
        <f>IFERROR(__xludf.DUMMYFUNCTION("""COMPUTED_VALUE"""),"14年248天")</f>
        <v>14年248天</v>
      </c>
      <c r="N211" s="1" t="str">
        <f>IFERROR(__xludf.DUMMYFUNCTION("""COMPUTED_VALUE"""),"继承")</f>
        <v>继承</v>
      </c>
      <c r="O211" s="1" t="str">
        <f>IFERROR(__xludf.DUMMYFUNCTION("""COMPUTED_VALUE"""),"唐懿宗第五子")</f>
        <v>唐懿宗第五子</v>
      </c>
    </row>
    <row r="212">
      <c r="A212" s="1" t="str">
        <f>IFERROR(__xludf.DUMMYFUNCTION("SPLIT(CSV!A:A,"","")"),"唐朝")</f>
        <v>唐朝</v>
      </c>
      <c r="B212" s="1">
        <f>IFERROR(__xludf.DUMMYFUNCTION("""COMPUTED_VALUE"""),22.0)</f>
        <v>22</v>
      </c>
      <c r="C212" s="1" t="str">
        <f>IFERROR(__xludf.DUMMYFUNCTION("""COMPUTED_VALUE"""),"昭宗")</f>
        <v>昭宗</v>
      </c>
      <c r="D212" s="1" t="str">
        <f>IFERROR(__xludf.DUMMYFUNCTION("""COMPUTED_VALUE"""),"圣穆景文孝皇帝")</f>
        <v>圣穆景文孝皇帝</v>
      </c>
      <c r="E212" s="1" t="str">
        <f>IFERROR(__xludf.DUMMYFUNCTION("""COMPUTED_VALUE"""),"唐昭宗")</f>
        <v>唐昭宗</v>
      </c>
      <c r="F212" s="1" t="str">
        <f>IFERROR(__xludf.DUMMYFUNCTION("""COMPUTED_VALUE"""),"李晔")</f>
        <v>李晔</v>
      </c>
      <c r="G212" s="1">
        <f>IFERROR(__xludf.DUMMYFUNCTION("""COMPUTED_VALUE"""),888.0)</f>
        <v>888</v>
      </c>
      <c r="H212" s="1">
        <f>IFERROR(__xludf.DUMMYFUNCTION("""COMPUTED_VALUE"""),4.0)</f>
        <v>4</v>
      </c>
      <c r="I212" s="1">
        <f>IFERROR(__xludf.DUMMYFUNCTION("""COMPUTED_VALUE"""),22.0)</f>
        <v>22</v>
      </c>
      <c r="J212" s="1">
        <f>IFERROR(__xludf.DUMMYFUNCTION("""COMPUTED_VALUE"""),904.0)</f>
        <v>904</v>
      </c>
      <c r="K212" s="1">
        <f>IFERROR(__xludf.DUMMYFUNCTION("""COMPUTED_VALUE"""),9.0)</f>
        <v>9</v>
      </c>
      <c r="L212" s="1">
        <f>IFERROR(__xludf.DUMMYFUNCTION("""COMPUTED_VALUE"""),22.0)</f>
        <v>22</v>
      </c>
      <c r="M212" s="1" t="str">
        <f>IFERROR(__xludf.DUMMYFUNCTION("""COMPUTED_VALUE"""),"16年153天")</f>
        <v>16年153天</v>
      </c>
      <c r="N212" s="1" t="str">
        <f>IFERROR(__xludf.DUMMYFUNCTION("""COMPUTED_VALUE"""),"继承")</f>
        <v>继承</v>
      </c>
      <c r="O212" s="1" t="str">
        <f>IFERROR(__xludf.DUMMYFUNCTION("""COMPUTED_VALUE"""),"唐懿宗第七子")</f>
        <v>唐懿宗第七子</v>
      </c>
    </row>
    <row r="213">
      <c r="A213" s="1" t="str">
        <f>IFERROR(__xludf.DUMMYFUNCTION("SPLIT(CSV!A:A,"","")"),"吴")</f>
        <v>吴</v>
      </c>
      <c r="B213" s="1">
        <f>IFERROR(__xludf.DUMMYFUNCTION("""COMPUTED_VALUE"""),1.0)</f>
        <v>1</v>
      </c>
      <c r="C213" s="1" t="str">
        <f>IFERROR(__xludf.DUMMYFUNCTION("""COMPUTED_VALUE"""),"太祖")</f>
        <v>太祖</v>
      </c>
      <c r="D213" s="1" t="str">
        <f>IFERROR(__xludf.DUMMYFUNCTION("""COMPUTED_VALUE"""),"武皇帝")</f>
        <v>武皇帝</v>
      </c>
      <c r="E213" s="1" t="str">
        <f>IFERROR(__xludf.DUMMYFUNCTION("""COMPUTED_VALUE"""),"吴武帝")</f>
        <v>吴武帝</v>
      </c>
      <c r="F213" s="1" t="str">
        <f>IFERROR(__xludf.DUMMYFUNCTION("""COMPUTED_VALUE"""),"杨行密")</f>
        <v>杨行密</v>
      </c>
      <c r="G213" s="1">
        <f>IFERROR(__xludf.DUMMYFUNCTION("""COMPUTED_VALUE"""),902.0)</f>
        <v>902</v>
      </c>
      <c r="H213" s="1">
        <f>IFERROR(__xludf.DUMMYFUNCTION("""COMPUTED_VALUE"""),3.0)</f>
        <v>3</v>
      </c>
      <c r="I213" s="1">
        <f>IFERROR(__xludf.DUMMYFUNCTION("""COMPUTED_VALUE"""),12.0)</f>
        <v>12</v>
      </c>
      <c r="J213" s="1">
        <f>IFERROR(__xludf.DUMMYFUNCTION("""COMPUTED_VALUE"""),905.0)</f>
        <v>905</v>
      </c>
      <c r="K213" s="1">
        <f>IFERROR(__xludf.DUMMYFUNCTION("""COMPUTED_VALUE"""),11.0)</f>
        <v>11</v>
      </c>
      <c r="L213" s="1">
        <f>IFERROR(__xludf.DUMMYFUNCTION("""COMPUTED_VALUE"""),24.0)</f>
        <v>24</v>
      </c>
      <c r="M213" s="1" t="str">
        <f>IFERROR(__xludf.DUMMYFUNCTION("""COMPUTED_VALUE"""),"3年257天")</f>
        <v>3年257天</v>
      </c>
      <c r="N213" s="1" t="str">
        <f>IFERROR(__xludf.DUMMYFUNCTION("""COMPUTED_VALUE"""),"割据")</f>
        <v>割据</v>
      </c>
      <c r="O213" s="1" t="str">
        <f>IFERROR(__xludf.DUMMYFUNCTION("""COMPUTED_VALUE"""),"唐封吴王，奠定吴国基业")</f>
        <v>唐封吴王，奠定吴国基业</v>
      </c>
    </row>
    <row r="214">
      <c r="A214" s="1" t="str">
        <f>IFERROR(__xludf.DUMMYFUNCTION("SPLIT(CSV!A:A,"","")"),"唐朝")</f>
        <v>唐朝</v>
      </c>
      <c r="B214" s="1">
        <f>IFERROR(__xludf.DUMMYFUNCTION("""COMPUTED_VALUE"""),23.0)</f>
        <v>23</v>
      </c>
      <c r="C214" s="1" t="str">
        <f>IFERROR(__xludf.DUMMYFUNCTION("""COMPUTED_VALUE"""),"景宗/哀帝")</f>
        <v>景宗/哀帝</v>
      </c>
      <c r="D214" s="1" t="str">
        <f>IFERROR(__xludf.DUMMYFUNCTION("""COMPUTED_VALUE"""),"昭宣光烈孝皇帝")</f>
        <v>昭宣光烈孝皇帝</v>
      </c>
      <c r="E214" s="1" t="str">
        <f>IFERROR(__xludf.DUMMYFUNCTION("""COMPUTED_VALUE"""),"唐景宗/唐哀帝")</f>
        <v>唐景宗/唐哀帝</v>
      </c>
      <c r="F214" s="1" t="str">
        <f>IFERROR(__xludf.DUMMYFUNCTION("""COMPUTED_VALUE"""),"李柷")</f>
        <v>李柷</v>
      </c>
      <c r="G214" s="1">
        <f>IFERROR(__xludf.DUMMYFUNCTION("""COMPUTED_VALUE"""),904.0)</f>
        <v>904</v>
      </c>
      <c r="H214" s="1">
        <f>IFERROR(__xludf.DUMMYFUNCTION("""COMPUTED_VALUE"""),9.0)</f>
        <v>9</v>
      </c>
      <c r="I214" s="1">
        <f>IFERROR(__xludf.DUMMYFUNCTION("""COMPUTED_VALUE"""),26.0)</f>
        <v>26</v>
      </c>
      <c r="J214" s="1">
        <f>IFERROR(__xludf.DUMMYFUNCTION("""COMPUTED_VALUE"""),907.0)</f>
        <v>907</v>
      </c>
      <c r="K214" s="1">
        <f>IFERROR(__xludf.DUMMYFUNCTION("""COMPUTED_VALUE"""),5.0)</f>
        <v>5</v>
      </c>
      <c r="L214" s="1">
        <f>IFERROR(__xludf.DUMMYFUNCTION("""COMPUTED_VALUE"""),12.0)</f>
        <v>12</v>
      </c>
      <c r="M214" s="1" t="str">
        <f>IFERROR(__xludf.DUMMYFUNCTION("""COMPUTED_VALUE"""),"2年228天")</f>
        <v>2年228天</v>
      </c>
      <c r="N214" s="1" t="str">
        <f>IFERROR(__xludf.DUMMYFUNCTION("""COMPUTED_VALUE"""),"继承")</f>
        <v>继承</v>
      </c>
      <c r="O214" s="1" t="str">
        <f>IFERROR(__xludf.DUMMYFUNCTION("""COMPUTED_VALUE"""),"唐昭宗第九子，禅位于朱温，唐朝亡")</f>
        <v>唐昭宗第九子，禅位于朱温，唐朝亡</v>
      </c>
    </row>
    <row r="215">
      <c r="A215" s="1" t="str">
        <f>IFERROR(__xludf.DUMMYFUNCTION("SPLIT(CSV!A:A,"","")"),"吴")</f>
        <v>吴</v>
      </c>
      <c r="B215" s="1">
        <f>IFERROR(__xludf.DUMMYFUNCTION("""COMPUTED_VALUE"""),2.0)</f>
        <v>2</v>
      </c>
      <c r="C215" s="1" t="str">
        <f>IFERROR(__xludf.DUMMYFUNCTION("""COMPUTED_VALUE"""),"烈祖")</f>
        <v>烈祖</v>
      </c>
      <c r="D215" s="1" t="str">
        <f>IFERROR(__xludf.DUMMYFUNCTION("""COMPUTED_VALUE"""),"景皇帝")</f>
        <v>景皇帝</v>
      </c>
      <c r="E215" s="1" t="str">
        <f>IFERROR(__xludf.DUMMYFUNCTION("""COMPUTED_VALUE"""),"吴景帝")</f>
        <v>吴景帝</v>
      </c>
      <c r="F215" s="1" t="str">
        <f>IFERROR(__xludf.DUMMYFUNCTION("""COMPUTED_VALUE"""),"杨渥")</f>
        <v>杨渥</v>
      </c>
      <c r="G215" s="1">
        <f>IFERROR(__xludf.DUMMYFUNCTION("""COMPUTED_VALUE"""),905.0)</f>
        <v>905</v>
      </c>
      <c r="H215" s="1">
        <f>IFERROR(__xludf.DUMMYFUNCTION("""COMPUTED_VALUE"""),11.0)</f>
        <v>11</v>
      </c>
      <c r="I215" s="1">
        <f>IFERROR(__xludf.DUMMYFUNCTION("""COMPUTED_VALUE"""),24.0)</f>
        <v>24</v>
      </c>
      <c r="J215" s="1">
        <f>IFERROR(__xludf.DUMMYFUNCTION("""COMPUTED_VALUE"""),908.0)</f>
        <v>908</v>
      </c>
      <c r="K215" s="1">
        <f>IFERROR(__xludf.DUMMYFUNCTION("""COMPUTED_VALUE"""),6.0)</f>
        <v>6</v>
      </c>
      <c r="L215" s="1">
        <f>IFERROR(__xludf.DUMMYFUNCTION("""COMPUTED_VALUE"""),9.0)</f>
        <v>9</v>
      </c>
      <c r="M215" s="1" t="str">
        <f>IFERROR(__xludf.DUMMYFUNCTION("""COMPUTED_VALUE"""),"2年197天")</f>
        <v>2年197天</v>
      </c>
      <c r="N215" s="1" t="str">
        <f>IFERROR(__xludf.DUMMYFUNCTION("""COMPUTED_VALUE"""),"继承")</f>
        <v>继承</v>
      </c>
      <c r="O215" s="1" t="str">
        <f>IFERROR(__xludf.DUMMYFUNCTION("""COMPUTED_VALUE"""),"杨行密长子")</f>
        <v>杨行密长子</v>
      </c>
    </row>
    <row r="216">
      <c r="A216" s="1" t="str">
        <f>IFERROR(__xludf.DUMMYFUNCTION("SPLIT(CSV!A:A,"","")"),"辽朝")</f>
        <v>辽朝</v>
      </c>
      <c r="B216" s="1">
        <f>IFERROR(__xludf.DUMMYFUNCTION("""COMPUTED_VALUE"""),1.0)</f>
        <v>1</v>
      </c>
      <c r="C216" s="1" t="str">
        <f>IFERROR(__xludf.DUMMYFUNCTION("""COMPUTED_VALUE"""),"太祖")</f>
        <v>太祖</v>
      </c>
      <c r="D216" s="1" t="str">
        <f>IFERROR(__xludf.DUMMYFUNCTION("""COMPUTED_VALUE"""),"大圣大明神烈天皇帝")</f>
        <v>大圣大明神烈天皇帝</v>
      </c>
      <c r="E216" s="1" t="str">
        <f>IFERROR(__xludf.DUMMYFUNCTION("""COMPUTED_VALUE"""),"辽太祖")</f>
        <v>辽太祖</v>
      </c>
      <c r="F216" s="1" t="str">
        <f>IFERROR(__xludf.DUMMYFUNCTION("""COMPUTED_VALUE"""),"耶律阿保机")</f>
        <v>耶律阿保机</v>
      </c>
      <c r="G216" s="1">
        <f>IFERROR(__xludf.DUMMYFUNCTION("""COMPUTED_VALUE"""),907.0)</f>
        <v>907</v>
      </c>
      <c r="H216" s="1">
        <f>IFERROR(__xludf.DUMMYFUNCTION("""COMPUTED_VALUE"""),3.0)</f>
        <v>3</v>
      </c>
      <c r="I216" s="1">
        <f>IFERROR(__xludf.DUMMYFUNCTION("""COMPUTED_VALUE"""),17.0)</f>
        <v>17</v>
      </c>
      <c r="J216" s="1">
        <f>IFERROR(__xludf.DUMMYFUNCTION("""COMPUTED_VALUE"""),926.0)</f>
        <v>926</v>
      </c>
      <c r="K216" s="1">
        <f>IFERROR(__xludf.DUMMYFUNCTION("""COMPUTED_VALUE"""),9.0)</f>
        <v>9</v>
      </c>
      <c r="L216" s="1">
        <f>IFERROR(__xludf.DUMMYFUNCTION("""COMPUTED_VALUE"""),6.0)</f>
        <v>6</v>
      </c>
      <c r="M216" s="1" t="str">
        <f>IFERROR(__xludf.DUMMYFUNCTION("""COMPUTED_VALUE"""),"19年173天")</f>
        <v>19年173天</v>
      </c>
      <c r="N216" s="1" t="str">
        <f>IFERROR(__xludf.DUMMYFUNCTION("""COMPUTED_VALUE"""),"自立")</f>
        <v>自立</v>
      </c>
      <c r="O216" s="1" t="str">
        <f>IFERROR(__xludf.DUMMYFUNCTION("""COMPUTED_VALUE"""),"契丹可汗，建国称帝")</f>
        <v>契丹可汗，建国称帝</v>
      </c>
    </row>
    <row r="217">
      <c r="A217" s="1" t="str">
        <f>IFERROR(__xludf.DUMMYFUNCTION("SPLIT(CSV!A:A,"","")"),"后梁")</f>
        <v>后梁</v>
      </c>
      <c r="B217" s="1">
        <f>IFERROR(__xludf.DUMMYFUNCTION("""COMPUTED_VALUE"""),1.0)</f>
        <v>1</v>
      </c>
      <c r="C217" s="1" t="str">
        <f>IFERROR(__xludf.DUMMYFUNCTION("""COMPUTED_VALUE"""),"太祖")</f>
        <v>太祖</v>
      </c>
      <c r="D217" s="1" t="str">
        <f>IFERROR(__xludf.DUMMYFUNCTION("""COMPUTED_VALUE"""),"神武元圣孝皇帝")</f>
        <v>神武元圣孝皇帝</v>
      </c>
      <c r="E217" s="1" t="str">
        <f>IFERROR(__xludf.DUMMYFUNCTION("""COMPUTED_VALUE"""),"梁太祖")</f>
        <v>梁太祖</v>
      </c>
      <c r="F217" s="1" t="str">
        <f>IFERROR(__xludf.DUMMYFUNCTION("""COMPUTED_VALUE"""),"朱温")</f>
        <v>朱温</v>
      </c>
      <c r="G217" s="1">
        <f>IFERROR(__xludf.DUMMYFUNCTION("""COMPUTED_VALUE"""),907.0)</f>
        <v>907</v>
      </c>
      <c r="H217" s="1">
        <f>IFERROR(__xludf.DUMMYFUNCTION("""COMPUTED_VALUE"""),6.0)</f>
        <v>6</v>
      </c>
      <c r="I217" s="1">
        <f>IFERROR(__xludf.DUMMYFUNCTION("""COMPUTED_VALUE"""),1.0)</f>
        <v>1</v>
      </c>
      <c r="J217" s="1">
        <f>IFERROR(__xludf.DUMMYFUNCTION("""COMPUTED_VALUE"""),912.0)</f>
        <v>912</v>
      </c>
      <c r="K217" s="1">
        <f>IFERROR(__xludf.DUMMYFUNCTION("""COMPUTED_VALUE"""),7.0)</f>
        <v>7</v>
      </c>
      <c r="L217" s="1">
        <f>IFERROR(__xludf.DUMMYFUNCTION("""COMPUTED_VALUE"""),18.0)</f>
        <v>18</v>
      </c>
      <c r="M217" s="1" t="str">
        <f>IFERROR(__xludf.DUMMYFUNCTION("""COMPUTED_VALUE"""),"5年47天")</f>
        <v>5年47天</v>
      </c>
      <c r="N217" s="1" t="str">
        <f>IFERROR(__xludf.DUMMYFUNCTION("""COMPUTED_VALUE"""),"受禅")</f>
        <v>受禅</v>
      </c>
      <c r="O217" s="1" t="str">
        <f>IFERROR(__xludf.DUMMYFUNCTION("""COMPUTED_VALUE"""),"受唐哀帝禅让")</f>
        <v>受唐哀帝禅让</v>
      </c>
    </row>
    <row r="218">
      <c r="A218" s="1" t="str">
        <f>IFERROR(__xludf.DUMMYFUNCTION("SPLIT(CSV!A:A,"","")"),"吴越")</f>
        <v>吴越</v>
      </c>
      <c r="B218" s="1">
        <f>IFERROR(__xludf.DUMMYFUNCTION("""COMPUTED_VALUE"""),1.0)</f>
        <v>1</v>
      </c>
      <c r="C218" s="1" t="str">
        <f>IFERROR(__xludf.DUMMYFUNCTION("""COMPUTED_VALUE"""),"-")</f>
        <v>-</v>
      </c>
      <c r="D218" s="1" t="str">
        <f>IFERROR(__xludf.DUMMYFUNCTION("""COMPUTED_VALUE"""),"武肃王")</f>
        <v>武肃王</v>
      </c>
      <c r="E218" s="1" t="str">
        <f>IFERROR(__xludf.DUMMYFUNCTION("""COMPUTED_VALUE"""),"钱镠")</f>
        <v>钱镠</v>
      </c>
      <c r="F218" s="1" t="str">
        <f>IFERROR(__xludf.DUMMYFUNCTION("""COMPUTED_VALUE"""),"钱镠")</f>
        <v>钱镠</v>
      </c>
      <c r="G218" s="1">
        <f>IFERROR(__xludf.DUMMYFUNCTION("""COMPUTED_VALUE"""),907.0)</f>
        <v>907</v>
      </c>
      <c r="H218" s="1">
        <f>IFERROR(__xludf.DUMMYFUNCTION("""COMPUTED_VALUE"""),6.0)</f>
        <v>6</v>
      </c>
      <c r="I218" s="1">
        <f>IFERROR(__xludf.DUMMYFUNCTION("""COMPUTED_VALUE"""),7.0)</f>
        <v>7</v>
      </c>
      <c r="J218" s="1">
        <f>IFERROR(__xludf.DUMMYFUNCTION("""COMPUTED_VALUE"""),932.0)</f>
        <v>932</v>
      </c>
      <c r="K218" s="1">
        <f>IFERROR(__xludf.DUMMYFUNCTION("""COMPUTED_VALUE"""),5.0)</f>
        <v>5</v>
      </c>
      <c r="L218" s="1">
        <f>IFERROR(__xludf.DUMMYFUNCTION("""COMPUTED_VALUE"""),6.0)</f>
        <v>6</v>
      </c>
      <c r="M218" s="1" t="str">
        <f>IFERROR(__xludf.DUMMYFUNCTION("""COMPUTED_VALUE"""),"24年333天")</f>
        <v>24年333天</v>
      </c>
      <c r="N218" s="1" t="str">
        <f>IFERROR(__xludf.DUMMYFUNCTION("""COMPUTED_VALUE"""),"割据")</f>
        <v>割据</v>
      </c>
      <c r="O218" s="1" t="str">
        <f>IFERROR(__xludf.DUMMYFUNCTION("""COMPUTED_VALUE"""),"后梁封吴越王")</f>
        <v>后梁封吴越王</v>
      </c>
    </row>
    <row r="219">
      <c r="A219" s="1" t="str">
        <f>IFERROR(__xludf.DUMMYFUNCTION("SPLIT(CSV!A:A,"","")"),"前蜀")</f>
        <v>前蜀</v>
      </c>
      <c r="B219" s="1">
        <f>IFERROR(__xludf.DUMMYFUNCTION("""COMPUTED_VALUE"""),1.0)</f>
        <v>1</v>
      </c>
      <c r="C219" s="1" t="str">
        <f>IFERROR(__xludf.DUMMYFUNCTION("""COMPUTED_VALUE"""),"高祖")</f>
        <v>高祖</v>
      </c>
      <c r="D219" s="1" t="str">
        <f>IFERROR(__xludf.DUMMYFUNCTION("""COMPUTED_VALUE"""),"神武圣文孝德明惠皇帝")</f>
        <v>神武圣文孝德明惠皇帝</v>
      </c>
      <c r="E219" s="1" t="str">
        <f>IFERROR(__xludf.DUMMYFUNCTION("""COMPUTED_VALUE"""),"蜀高祖")</f>
        <v>蜀高祖</v>
      </c>
      <c r="F219" s="1" t="str">
        <f>IFERROR(__xludf.DUMMYFUNCTION("""COMPUTED_VALUE"""),"王建")</f>
        <v>王建</v>
      </c>
      <c r="G219" s="1">
        <f>IFERROR(__xludf.DUMMYFUNCTION("""COMPUTED_VALUE"""),907.0)</f>
        <v>907</v>
      </c>
      <c r="H219" s="1">
        <f>IFERROR(__xludf.DUMMYFUNCTION("""COMPUTED_VALUE"""),9.0)</f>
        <v>9</v>
      </c>
      <c r="I219" s="1">
        <f>IFERROR(__xludf.DUMMYFUNCTION("""COMPUTED_VALUE"""),3.0)</f>
        <v>3</v>
      </c>
      <c r="J219" s="1">
        <f>IFERROR(__xludf.DUMMYFUNCTION("""COMPUTED_VALUE"""),918.0)</f>
        <v>918</v>
      </c>
      <c r="K219" s="1">
        <f>IFERROR(__xludf.DUMMYFUNCTION("""COMPUTED_VALUE"""),7.0)</f>
        <v>7</v>
      </c>
      <c r="L219" s="1">
        <f>IFERROR(__xludf.DUMMYFUNCTION("""COMPUTED_VALUE"""),11.0)</f>
        <v>11</v>
      </c>
      <c r="M219" s="1" t="str">
        <f>IFERROR(__xludf.DUMMYFUNCTION("""COMPUTED_VALUE"""),"10年311天")</f>
        <v>10年311天</v>
      </c>
      <c r="N219" s="1" t="str">
        <f>IFERROR(__xludf.DUMMYFUNCTION("""COMPUTED_VALUE"""),"自立")</f>
        <v>自立</v>
      </c>
      <c r="O219" s="1" t="str">
        <f>IFERROR(__xludf.DUMMYFUNCTION("""COMPUTED_VALUE"""),"唐亡后于成都称帝")</f>
        <v>唐亡后于成都称帝</v>
      </c>
    </row>
    <row r="220">
      <c r="A220" s="1" t="str">
        <f>IFERROR(__xludf.DUMMYFUNCTION("SPLIT(CSV!A:A,"","")"),"吴")</f>
        <v>吴</v>
      </c>
      <c r="B220" s="1">
        <f>IFERROR(__xludf.DUMMYFUNCTION("""COMPUTED_VALUE"""),3.0)</f>
        <v>3</v>
      </c>
      <c r="C220" s="1" t="str">
        <f>IFERROR(__xludf.DUMMYFUNCTION("""COMPUTED_VALUE"""),"高祖")</f>
        <v>高祖</v>
      </c>
      <c r="D220" s="1" t="str">
        <f>IFERROR(__xludf.DUMMYFUNCTION("""COMPUTED_VALUE"""),"宣皇帝")</f>
        <v>宣皇帝</v>
      </c>
      <c r="E220" s="1" t="str">
        <f>IFERROR(__xludf.DUMMYFUNCTION("""COMPUTED_VALUE"""),"吴宣帝")</f>
        <v>吴宣帝</v>
      </c>
      <c r="F220" s="1" t="str">
        <f>IFERROR(__xludf.DUMMYFUNCTION("""COMPUTED_VALUE"""),"杨隆演")</f>
        <v>杨隆演</v>
      </c>
      <c r="G220" s="1">
        <f>IFERROR(__xludf.DUMMYFUNCTION("""COMPUTED_VALUE"""),908.0)</f>
        <v>908</v>
      </c>
      <c r="H220" s="1">
        <f>IFERROR(__xludf.DUMMYFUNCTION("""COMPUTED_VALUE"""),6.0)</f>
        <v>6</v>
      </c>
      <c r="I220" s="1">
        <f>IFERROR(__xludf.DUMMYFUNCTION("""COMPUTED_VALUE"""),9.0)</f>
        <v>9</v>
      </c>
      <c r="J220" s="1">
        <f>IFERROR(__xludf.DUMMYFUNCTION("""COMPUTED_VALUE"""),920.0)</f>
        <v>920</v>
      </c>
      <c r="K220" s="1">
        <f>IFERROR(__xludf.DUMMYFUNCTION("""COMPUTED_VALUE"""),6.0)</f>
        <v>6</v>
      </c>
      <c r="L220" s="1">
        <f>IFERROR(__xludf.DUMMYFUNCTION("""COMPUTED_VALUE"""),17.0)</f>
        <v>17</v>
      </c>
      <c r="M220" s="1" t="str">
        <f>IFERROR(__xludf.DUMMYFUNCTION("""COMPUTED_VALUE"""),"12年8天")</f>
        <v>12年8天</v>
      </c>
      <c r="N220" s="1" t="str">
        <f>IFERROR(__xludf.DUMMYFUNCTION("""COMPUTED_VALUE"""),"继承")</f>
        <v>继承</v>
      </c>
      <c r="O220" s="1" t="str">
        <f>IFERROR(__xludf.DUMMYFUNCTION("""COMPUTED_VALUE"""),"杨行密次子")</f>
        <v>杨行密次子</v>
      </c>
    </row>
    <row r="221">
      <c r="A221" s="1" t="str">
        <f>IFERROR(__xludf.DUMMYFUNCTION("SPLIT(CSV!A:A,"","")"),"后梁")</f>
        <v>后梁</v>
      </c>
      <c r="B221" s="1">
        <f>IFERROR(__xludf.DUMMYFUNCTION("""COMPUTED_VALUE"""),2.0)</f>
        <v>2</v>
      </c>
      <c r="C221" s="1" t="str">
        <f>IFERROR(__xludf.DUMMYFUNCTION("""COMPUTED_VALUE"""),"-")</f>
        <v>-</v>
      </c>
      <c r="D221" s="1" t="str">
        <f>IFERROR(__xludf.DUMMYFUNCTION("""COMPUTED_VALUE"""),"-")</f>
        <v>-</v>
      </c>
      <c r="E221" s="1" t="str">
        <f>IFERROR(__xludf.DUMMYFUNCTION("""COMPUTED_VALUE"""),"梁郢王")</f>
        <v>梁郢王</v>
      </c>
      <c r="F221" s="1" t="str">
        <f>IFERROR(__xludf.DUMMYFUNCTION("""COMPUTED_VALUE"""),"朱友珪")</f>
        <v>朱友珪</v>
      </c>
      <c r="G221" s="1">
        <f>IFERROR(__xludf.DUMMYFUNCTION("""COMPUTED_VALUE"""),912.0)</f>
        <v>912</v>
      </c>
      <c r="H221" s="1">
        <f>IFERROR(__xludf.DUMMYFUNCTION("""COMPUTED_VALUE"""),7.0)</f>
        <v>7</v>
      </c>
      <c r="I221" s="1">
        <f>IFERROR(__xludf.DUMMYFUNCTION("""COMPUTED_VALUE"""),18.0)</f>
        <v>18</v>
      </c>
      <c r="J221" s="1">
        <f>IFERROR(__xludf.DUMMYFUNCTION("""COMPUTED_VALUE"""),913.0)</f>
        <v>913</v>
      </c>
      <c r="K221" s="1">
        <f>IFERROR(__xludf.DUMMYFUNCTION("""COMPUTED_VALUE"""),3.0)</f>
        <v>3</v>
      </c>
      <c r="L221" s="1">
        <f>IFERROR(__xludf.DUMMYFUNCTION("""COMPUTED_VALUE"""),27.0)</f>
        <v>27</v>
      </c>
      <c r="M221" s="1" t="str">
        <f>IFERROR(__xludf.DUMMYFUNCTION("""COMPUTED_VALUE"""),"252天")</f>
        <v>252天</v>
      </c>
      <c r="N221" s="1" t="str">
        <f>IFERROR(__xludf.DUMMYFUNCTION("""COMPUTED_VALUE"""),"弑君篡位")</f>
        <v>弑君篡位</v>
      </c>
      <c r="O221" s="1" t="str">
        <f>IFERROR(__xludf.DUMMYFUNCTION("""COMPUTED_VALUE"""),"弑父继位")</f>
        <v>弑父继位</v>
      </c>
    </row>
    <row r="222">
      <c r="A222" s="1" t="str">
        <f>IFERROR(__xludf.DUMMYFUNCTION("SPLIT(CSV!A:A,"","")"),"后梁")</f>
        <v>后梁</v>
      </c>
      <c r="B222" s="1">
        <f>IFERROR(__xludf.DUMMYFUNCTION("""COMPUTED_VALUE"""),3.0)</f>
        <v>3</v>
      </c>
      <c r="C222" s="1" t="str">
        <f>IFERROR(__xludf.DUMMYFUNCTION("""COMPUTED_VALUE"""),"-")</f>
        <v>-</v>
      </c>
      <c r="D222" s="1" t="str">
        <f>IFERROR(__xludf.DUMMYFUNCTION("""COMPUTED_VALUE"""),"-")</f>
        <v>-</v>
      </c>
      <c r="E222" s="1" t="str">
        <f>IFERROR(__xludf.DUMMYFUNCTION("""COMPUTED_VALUE"""),"梁末帝")</f>
        <v>梁末帝</v>
      </c>
      <c r="F222" s="1" t="str">
        <f>IFERROR(__xludf.DUMMYFUNCTION("""COMPUTED_VALUE"""),"朱友贞")</f>
        <v>朱友贞</v>
      </c>
      <c r="G222" s="1">
        <f>IFERROR(__xludf.DUMMYFUNCTION("""COMPUTED_VALUE"""),913.0)</f>
        <v>913</v>
      </c>
      <c r="H222" s="1">
        <f>IFERROR(__xludf.DUMMYFUNCTION("""COMPUTED_VALUE"""),3.0)</f>
        <v>3</v>
      </c>
      <c r="I222" s="1">
        <f>IFERROR(__xludf.DUMMYFUNCTION("""COMPUTED_VALUE"""),27.0)</f>
        <v>27</v>
      </c>
      <c r="J222" s="1">
        <f>IFERROR(__xludf.DUMMYFUNCTION("""COMPUTED_VALUE"""),923.0)</f>
        <v>923</v>
      </c>
      <c r="K222" s="1">
        <f>IFERROR(__xludf.DUMMYFUNCTION("""COMPUTED_VALUE"""),11.0)</f>
        <v>11</v>
      </c>
      <c r="L222" s="1">
        <f>IFERROR(__xludf.DUMMYFUNCTION("""COMPUTED_VALUE"""),18.0)</f>
        <v>18</v>
      </c>
      <c r="M222" s="1" t="str">
        <f>IFERROR(__xludf.DUMMYFUNCTION("""COMPUTED_VALUE"""),"10年236天")</f>
        <v>10年236天</v>
      </c>
      <c r="N222" s="1" t="str">
        <f>IFERROR(__xludf.DUMMYFUNCTION("""COMPUTED_VALUE"""),"政变")</f>
        <v>政变</v>
      </c>
      <c r="O222" s="1" t="str">
        <f>IFERROR(__xludf.DUMMYFUNCTION("""COMPUTED_VALUE"""),"杀朱友珪夺位")</f>
        <v>杀朱友珪夺位</v>
      </c>
    </row>
    <row r="223">
      <c r="A223" s="1" t="str">
        <f>IFERROR(__xludf.DUMMYFUNCTION("SPLIT(CSV!A:A,"","")"),"前蜀")</f>
        <v>前蜀</v>
      </c>
      <c r="B223" s="1">
        <f>IFERROR(__xludf.DUMMYFUNCTION("""COMPUTED_VALUE"""),2.0)</f>
        <v>2</v>
      </c>
      <c r="C223" s="1" t="str">
        <f>IFERROR(__xludf.DUMMYFUNCTION("""COMPUTED_VALUE"""),"-")</f>
        <v>-</v>
      </c>
      <c r="D223" s="1" t="str">
        <f>IFERROR(__xludf.DUMMYFUNCTION("""COMPUTED_VALUE"""),"-")</f>
        <v>-</v>
      </c>
      <c r="E223" s="1" t="str">
        <f>IFERROR(__xludf.DUMMYFUNCTION("""COMPUTED_VALUE"""),"前蜀后主")</f>
        <v>前蜀后主</v>
      </c>
      <c r="F223" s="1" t="str">
        <f>IFERROR(__xludf.DUMMYFUNCTION("""COMPUTED_VALUE"""),"王衍")</f>
        <v>王衍</v>
      </c>
      <c r="G223" s="1">
        <f>IFERROR(__xludf.DUMMYFUNCTION("""COMPUTED_VALUE"""),918.0)</f>
        <v>918</v>
      </c>
      <c r="H223" s="1">
        <f>IFERROR(__xludf.DUMMYFUNCTION("""COMPUTED_VALUE"""),7.0)</f>
        <v>7</v>
      </c>
      <c r="I223" s="1">
        <f>IFERROR(__xludf.DUMMYFUNCTION("""COMPUTED_VALUE"""),11.0)</f>
        <v>11</v>
      </c>
      <c r="J223" s="1">
        <f>IFERROR(__xludf.DUMMYFUNCTION("""COMPUTED_VALUE"""),925.0)</f>
        <v>925</v>
      </c>
      <c r="K223" s="1">
        <f>IFERROR(__xludf.DUMMYFUNCTION("""COMPUTED_VALUE"""),12.0)</f>
        <v>12</v>
      </c>
      <c r="L223" s="1">
        <f>IFERROR(__xludf.DUMMYFUNCTION("""COMPUTED_VALUE"""),15.0)</f>
        <v>15</v>
      </c>
      <c r="M223" s="1" t="str">
        <f>IFERROR(__xludf.DUMMYFUNCTION("""COMPUTED_VALUE"""),"7年157天")</f>
        <v>7年157天</v>
      </c>
      <c r="N223" s="1" t="str">
        <f>IFERROR(__xludf.DUMMYFUNCTION("""COMPUTED_VALUE"""),"继承")</f>
        <v>继承</v>
      </c>
      <c r="O223" s="1" t="str">
        <f>IFERROR(__xludf.DUMMYFUNCTION("""COMPUTED_VALUE"""),"降后唐")</f>
        <v>降后唐</v>
      </c>
    </row>
    <row r="224">
      <c r="A224" s="1" t="str">
        <f>IFERROR(__xludf.DUMMYFUNCTION("SPLIT(CSV!A:A,"","")"),"吴")</f>
        <v>吴</v>
      </c>
      <c r="B224" s="1">
        <f>IFERROR(__xludf.DUMMYFUNCTION("""COMPUTED_VALUE"""),4.0)</f>
        <v>4</v>
      </c>
      <c r="C224" s="1" t="str">
        <f>IFERROR(__xludf.DUMMYFUNCTION("""COMPUTED_VALUE"""),"-")</f>
        <v>-</v>
      </c>
      <c r="D224" s="1" t="str">
        <f>IFERROR(__xludf.DUMMYFUNCTION("""COMPUTED_VALUE"""),"睿皇帝")</f>
        <v>睿皇帝</v>
      </c>
      <c r="E224" s="1" t="str">
        <f>IFERROR(__xludf.DUMMYFUNCTION("""COMPUTED_VALUE"""),"吴睿帝")</f>
        <v>吴睿帝</v>
      </c>
      <c r="F224" s="1" t="str">
        <f>IFERROR(__xludf.DUMMYFUNCTION("""COMPUTED_VALUE"""),"杨溥")</f>
        <v>杨溥</v>
      </c>
      <c r="G224" s="1">
        <f>IFERROR(__xludf.DUMMYFUNCTION("""COMPUTED_VALUE"""),920.0)</f>
        <v>920</v>
      </c>
      <c r="H224" s="1">
        <f>IFERROR(__xludf.DUMMYFUNCTION("""COMPUTED_VALUE"""),6.0)</f>
        <v>6</v>
      </c>
      <c r="I224" s="1">
        <f>IFERROR(__xludf.DUMMYFUNCTION("""COMPUTED_VALUE"""),17.0)</f>
        <v>17</v>
      </c>
      <c r="J224" s="1">
        <f>IFERROR(__xludf.DUMMYFUNCTION("""COMPUTED_VALUE"""),937.0)</f>
        <v>937</v>
      </c>
      <c r="K224" s="1">
        <f>IFERROR(__xludf.DUMMYFUNCTION("""COMPUTED_VALUE"""),11.0)</f>
        <v>11</v>
      </c>
      <c r="L224" s="1">
        <f>IFERROR(__xludf.DUMMYFUNCTION("""COMPUTED_VALUE"""),10.0)</f>
        <v>10</v>
      </c>
      <c r="M224" s="1" t="str">
        <f>IFERROR(__xludf.DUMMYFUNCTION("""COMPUTED_VALUE"""),"17年146天")</f>
        <v>17年146天</v>
      </c>
      <c r="N224" s="1" t="str">
        <f>IFERROR(__xludf.DUMMYFUNCTION("""COMPUTED_VALUE"""),"继承")</f>
        <v>继承</v>
      </c>
      <c r="O224" s="1" t="str">
        <f>IFERROR(__xludf.DUMMYFUNCTION("""COMPUTED_VALUE"""),"杨行密第四子")</f>
        <v>杨行密第四子</v>
      </c>
    </row>
    <row r="225">
      <c r="A225" s="1" t="str">
        <f>IFERROR(__xludf.DUMMYFUNCTION("SPLIT(CSV!A:A,"","")"),"后唐")</f>
        <v>后唐</v>
      </c>
      <c r="B225" s="1">
        <f>IFERROR(__xludf.DUMMYFUNCTION("""COMPUTED_VALUE"""),1.0)</f>
        <v>1</v>
      </c>
      <c r="C225" s="1" t="str">
        <f>IFERROR(__xludf.DUMMYFUNCTION("""COMPUTED_VALUE"""),"庄宗")</f>
        <v>庄宗</v>
      </c>
      <c r="D225" s="1" t="str">
        <f>IFERROR(__xludf.DUMMYFUNCTION("""COMPUTED_VALUE"""),"光圣神闵孝皇帝")</f>
        <v>光圣神闵孝皇帝</v>
      </c>
      <c r="E225" s="1" t="str">
        <f>IFERROR(__xludf.DUMMYFUNCTION("""COMPUTED_VALUE"""),"唐庄宗")</f>
        <v>唐庄宗</v>
      </c>
      <c r="F225" s="1" t="str">
        <f>IFERROR(__xludf.DUMMYFUNCTION("""COMPUTED_VALUE"""),"李存勖")</f>
        <v>李存勖</v>
      </c>
      <c r="G225" s="1">
        <f>IFERROR(__xludf.DUMMYFUNCTION("""COMPUTED_VALUE"""),923.0)</f>
        <v>923</v>
      </c>
      <c r="H225" s="1">
        <f>IFERROR(__xludf.DUMMYFUNCTION("""COMPUTED_VALUE"""),5.0)</f>
        <v>5</v>
      </c>
      <c r="I225" s="1">
        <f>IFERROR(__xludf.DUMMYFUNCTION("""COMPUTED_VALUE"""),13.0)</f>
        <v>13</v>
      </c>
      <c r="J225" s="1">
        <f>IFERROR(__xludf.DUMMYFUNCTION("""COMPUTED_VALUE"""),926.0)</f>
        <v>926</v>
      </c>
      <c r="K225" s="1">
        <f>IFERROR(__xludf.DUMMYFUNCTION("""COMPUTED_VALUE"""),4.0)</f>
        <v>4</v>
      </c>
      <c r="L225" s="1">
        <f>IFERROR(__xludf.DUMMYFUNCTION("""COMPUTED_VALUE"""),20.0)</f>
        <v>20</v>
      </c>
      <c r="M225" s="1" t="str">
        <f>IFERROR(__xludf.DUMMYFUNCTION("""COMPUTED_VALUE"""),"2年342天")</f>
        <v>2年342天</v>
      </c>
      <c r="N225" s="1" t="str">
        <f>IFERROR(__xludf.DUMMYFUNCTION("""COMPUTED_VALUE"""),"继承")</f>
        <v>继承</v>
      </c>
      <c r="O225" s="1" t="str">
        <f>IFERROR(__xludf.DUMMYFUNCTION("""COMPUTED_VALUE"""),"于魏州称帝，灭后梁")</f>
        <v>于魏州称帝，灭后梁</v>
      </c>
    </row>
    <row r="226">
      <c r="A226" s="1" t="str">
        <f>IFERROR(__xludf.DUMMYFUNCTION("SPLIT(CSV!A:A,"","")"),"后唐")</f>
        <v>后唐</v>
      </c>
      <c r="B226" s="1">
        <f>IFERROR(__xludf.DUMMYFUNCTION("""COMPUTED_VALUE"""),2.0)</f>
        <v>2</v>
      </c>
      <c r="C226" s="1" t="str">
        <f>IFERROR(__xludf.DUMMYFUNCTION("""COMPUTED_VALUE"""),"明宗")</f>
        <v>明宗</v>
      </c>
      <c r="D226" s="1" t="str">
        <f>IFERROR(__xludf.DUMMYFUNCTION("""COMPUTED_VALUE"""),"圣德和武钦孝皇帝")</f>
        <v>圣德和武钦孝皇帝</v>
      </c>
      <c r="E226" s="1" t="str">
        <f>IFERROR(__xludf.DUMMYFUNCTION("""COMPUTED_VALUE"""),"唐明宗")</f>
        <v>唐明宗</v>
      </c>
      <c r="F226" s="1" t="str">
        <f>IFERROR(__xludf.DUMMYFUNCTION("""COMPUTED_VALUE"""),"李嗣源")</f>
        <v>李嗣源</v>
      </c>
      <c r="G226" s="1">
        <f>IFERROR(__xludf.DUMMYFUNCTION("""COMPUTED_VALUE"""),926.0)</f>
        <v>926</v>
      </c>
      <c r="H226" s="1">
        <f>IFERROR(__xludf.DUMMYFUNCTION("""COMPUTED_VALUE"""),5.0)</f>
        <v>5</v>
      </c>
      <c r="I226" s="1">
        <f>IFERROR(__xludf.DUMMYFUNCTION("""COMPUTED_VALUE"""),2.0)</f>
        <v>2</v>
      </c>
      <c r="J226" s="1">
        <f>IFERROR(__xludf.DUMMYFUNCTION("""COMPUTED_VALUE"""),933.0)</f>
        <v>933</v>
      </c>
      <c r="K226" s="1">
        <f>IFERROR(__xludf.DUMMYFUNCTION("""COMPUTED_VALUE"""),12.0)</f>
        <v>12</v>
      </c>
      <c r="L226" s="1">
        <f>IFERROR(__xludf.DUMMYFUNCTION("""COMPUTED_VALUE"""),15.0)</f>
        <v>15</v>
      </c>
      <c r="M226" s="1" t="str">
        <f>IFERROR(__xludf.DUMMYFUNCTION("""COMPUTED_VALUE"""),"7年227天")</f>
        <v>7年227天</v>
      </c>
      <c r="N226" s="1" t="str">
        <f>IFERROR(__xludf.DUMMYFUNCTION("""COMPUTED_VALUE"""),"政变")</f>
        <v>政变</v>
      </c>
      <c r="O226" s="1" t="str">
        <f>IFERROR(__xludf.DUMMYFUNCTION("""COMPUTED_VALUE"""),"兵变后即位")</f>
        <v>兵变后即位</v>
      </c>
    </row>
    <row r="227">
      <c r="A227" s="1" t="str">
        <f>IFERROR(__xludf.DUMMYFUNCTION("SPLIT(CSV!A:A,"","")"),"辽朝")</f>
        <v>辽朝</v>
      </c>
      <c r="B227" s="1">
        <f>IFERROR(__xludf.DUMMYFUNCTION("""COMPUTED_VALUE"""),2.0)</f>
        <v>2</v>
      </c>
      <c r="C227" s="1" t="str">
        <f>IFERROR(__xludf.DUMMYFUNCTION("""COMPUTED_VALUE"""),"太宗")</f>
        <v>太宗</v>
      </c>
      <c r="D227" s="1" t="str">
        <f>IFERROR(__xludf.DUMMYFUNCTION("""COMPUTED_VALUE"""),"孝武惠文皇帝")</f>
        <v>孝武惠文皇帝</v>
      </c>
      <c r="E227" s="1" t="str">
        <f>IFERROR(__xludf.DUMMYFUNCTION("""COMPUTED_VALUE"""),"辽太宗")</f>
        <v>辽太宗</v>
      </c>
      <c r="F227" s="1" t="str">
        <f>IFERROR(__xludf.DUMMYFUNCTION("""COMPUTED_VALUE"""),"耶律德光")</f>
        <v>耶律德光</v>
      </c>
      <c r="G227" s="1">
        <f>IFERROR(__xludf.DUMMYFUNCTION("""COMPUTED_VALUE"""),927.0)</f>
        <v>927</v>
      </c>
      <c r="H227" s="1">
        <f>IFERROR(__xludf.DUMMYFUNCTION("""COMPUTED_VALUE"""),12.0)</f>
        <v>12</v>
      </c>
      <c r="I227" s="1">
        <f>IFERROR(__xludf.DUMMYFUNCTION("""COMPUTED_VALUE"""),11.0)</f>
        <v>11</v>
      </c>
      <c r="J227" s="1">
        <f>IFERROR(__xludf.DUMMYFUNCTION("""COMPUTED_VALUE"""),947.0)</f>
        <v>947</v>
      </c>
      <c r="K227" s="1">
        <f>IFERROR(__xludf.DUMMYFUNCTION("""COMPUTED_VALUE"""),5.0)</f>
        <v>5</v>
      </c>
      <c r="L227" s="1">
        <f>IFERROR(__xludf.DUMMYFUNCTION("""COMPUTED_VALUE"""),15.0)</f>
        <v>15</v>
      </c>
      <c r="M227" s="1" t="str">
        <f>IFERROR(__xludf.DUMMYFUNCTION("""COMPUTED_VALUE"""),"19年155天")</f>
        <v>19年155天</v>
      </c>
      <c r="N227" s="1" t="str">
        <f>IFERROR(__xludf.DUMMYFUNCTION("""COMPUTED_VALUE"""),"继承")</f>
        <v>继承</v>
      </c>
      <c r="O227" s="1" t="str">
        <f>IFERROR(__xludf.DUMMYFUNCTION("""COMPUTED_VALUE"""),"辽太祖次子")</f>
        <v>辽太祖次子</v>
      </c>
    </row>
    <row r="228">
      <c r="A228" s="1" t="str">
        <f>IFERROR(__xludf.DUMMYFUNCTION("SPLIT(CSV!A:A,"","")"),"后唐")</f>
        <v>后唐</v>
      </c>
      <c r="B228" s="1">
        <f>IFERROR(__xludf.DUMMYFUNCTION("""COMPUTED_VALUE"""),3.0)</f>
        <v>3</v>
      </c>
      <c r="C228" s="1" t="str">
        <f>IFERROR(__xludf.DUMMYFUNCTION("""COMPUTED_VALUE"""),"-")</f>
        <v>-</v>
      </c>
      <c r="D228" s="1" t="str">
        <f>IFERROR(__xludf.DUMMYFUNCTION("""COMPUTED_VALUE"""),"闵皇帝")</f>
        <v>闵皇帝</v>
      </c>
      <c r="E228" s="1" t="str">
        <f>IFERROR(__xludf.DUMMYFUNCTION("""COMPUTED_VALUE"""),"唐闵帝")</f>
        <v>唐闵帝</v>
      </c>
      <c r="F228" s="1" t="str">
        <f>IFERROR(__xludf.DUMMYFUNCTION("""COMPUTED_VALUE"""),"李从厚")</f>
        <v>李从厚</v>
      </c>
      <c r="G228" s="1">
        <f>IFERROR(__xludf.DUMMYFUNCTION("""COMPUTED_VALUE"""),933.0)</f>
        <v>933</v>
      </c>
      <c r="H228" s="1">
        <f>IFERROR(__xludf.DUMMYFUNCTION("""COMPUTED_VALUE"""),12.0)</f>
        <v>12</v>
      </c>
      <c r="I228" s="1">
        <f>IFERROR(__xludf.DUMMYFUNCTION("""COMPUTED_VALUE"""),15.0)</f>
        <v>15</v>
      </c>
      <c r="J228" s="1">
        <f>IFERROR(__xludf.DUMMYFUNCTION("""COMPUTED_VALUE"""),934.0)</f>
        <v>934</v>
      </c>
      <c r="K228" s="1">
        <f>IFERROR(__xludf.DUMMYFUNCTION("""COMPUTED_VALUE"""),5.0)</f>
        <v>5</v>
      </c>
      <c r="L228" s="1">
        <f>IFERROR(__xludf.DUMMYFUNCTION("""COMPUTED_VALUE"""),9.0)</f>
        <v>9</v>
      </c>
      <c r="M228" s="1" t="str">
        <f>IFERROR(__xludf.DUMMYFUNCTION("""COMPUTED_VALUE"""),"145天")</f>
        <v>145天</v>
      </c>
      <c r="N228" s="1" t="str">
        <f>IFERROR(__xludf.DUMMYFUNCTION("""COMPUTED_VALUE"""),"继承")</f>
        <v>继承</v>
      </c>
      <c r="O228" s="1" t="str">
        <f>IFERROR(__xludf.DUMMYFUNCTION("""COMPUTED_VALUE"""),"李嗣源第三子")</f>
        <v>李嗣源第三子</v>
      </c>
    </row>
    <row r="229">
      <c r="A229" s="1" t="str">
        <f>IFERROR(__xludf.DUMMYFUNCTION("SPLIT(CSV!A:A,"","")"),"后蜀")</f>
        <v>后蜀</v>
      </c>
      <c r="B229" s="1">
        <f>IFERROR(__xludf.DUMMYFUNCTION("""COMPUTED_VALUE"""),1.0)</f>
        <v>1</v>
      </c>
      <c r="C229" s="1" t="str">
        <f>IFERROR(__xludf.DUMMYFUNCTION("""COMPUTED_VALUE"""),"高祖")</f>
        <v>高祖</v>
      </c>
      <c r="D229" s="1" t="str">
        <f>IFERROR(__xludf.DUMMYFUNCTION("""COMPUTED_VALUE"""),"文武圣德英烈明孝皇帝")</f>
        <v>文武圣德英烈明孝皇帝</v>
      </c>
      <c r="E229" s="1" t="str">
        <f>IFERROR(__xludf.DUMMYFUNCTION("""COMPUTED_VALUE"""),"蜀高祖")</f>
        <v>蜀高祖</v>
      </c>
      <c r="F229" s="1" t="str">
        <f>IFERROR(__xludf.DUMMYFUNCTION("""COMPUTED_VALUE"""),"孟知祥")</f>
        <v>孟知祥</v>
      </c>
      <c r="G229" s="1">
        <f>IFERROR(__xludf.DUMMYFUNCTION("""COMPUTED_VALUE"""),934.0)</f>
        <v>934</v>
      </c>
      <c r="H229" s="1">
        <f>IFERROR(__xludf.DUMMYFUNCTION("""COMPUTED_VALUE"""),2.0)</f>
        <v>2</v>
      </c>
      <c r="I229" s="1">
        <f>IFERROR(__xludf.DUMMYFUNCTION("""COMPUTED_VALUE"""),16.0)</f>
        <v>16</v>
      </c>
      <c r="J229" s="1">
        <f>IFERROR(__xludf.DUMMYFUNCTION("""COMPUTED_VALUE"""),934.0)</f>
        <v>934</v>
      </c>
      <c r="K229" s="1">
        <f>IFERROR(__xludf.DUMMYFUNCTION("""COMPUTED_VALUE"""),9.0)</f>
        <v>9</v>
      </c>
      <c r="L229" s="1">
        <f>IFERROR(__xludf.DUMMYFUNCTION("""COMPUTED_VALUE"""),7.0)</f>
        <v>7</v>
      </c>
      <c r="M229" s="1" t="str">
        <f>IFERROR(__xludf.DUMMYFUNCTION("""COMPUTED_VALUE"""),"204天")</f>
        <v>204天</v>
      </c>
      <c r="N229" s="1" t="str">
        <f>IFERROR(__xludf.DUMMYFUNCTION("""COMPUTED_VALUE"""),"自立")</f>
        <v>自立</v>
      </c>
      <c r="O229" s="1" t="str">
        <f>IFERROR(__xludf.DUMMYFUNCTION("""COMPUTED_VALUE"""),"于成都称帝")</f>
        <v>于成都称帝</v>
      </c>
    </row>
    <row r="230">
      <c r="A230" s="1" t="str">
        <f>IFERROR(__xludf.DUMMYFUNCTION("SPLIT(CSV!A:A,"","")"),"后唐")</f>
        <v>后唐</v>
      </c>
      <c r="B230" s="1">
        <f>IFERROR(__xludf.DUMMYFUNCTION("""COMPUTED_VALUE"""),4.0)</f>
        <v>4</v>
      </c>
      <c r="C230" s="1" t="str">
        <f>IFERROR(__xludf.DUMMYFUNCTION("""COMPUTED_VALUE"""),"-")</f>
        <v>-</v>
      </c>
      <c r="D230" s="1" t="str">
        <f>IFERROR(__xludf.DUMMYFUNCTION("""COMPUTED_VALUE"""),"-")</f>
        <v>-</v>
      </c>
      <c r="E230" s="1" t="str">
        <f>IFERROR(__xludf.DUMMYFUNCTION("""COMPUTED_VALUE"""),"唐末帝")</f>
        <v>唐末帝</v>
      </c>
      <c r="F230" s="1" t="str">
        <f>IFERROR(__xludf.DUMMYFUNCTION("""COMPUTED_VALUE"""),"李从珂")</f>
        <v>李从珂</v>
      </c>
      <c r="G230" s="1">
        <f>IFERROR(__xludf.DUMMYFUNCTION("""COMPUTED_VALUE"""),934.0)</f>
        <v>934</v>
      </c>
      <c r="H230" s="1">
        <f>IFERROR(__xludf.DUMMYFUNCTION("""COMPUTED_VALUE"""),5.0)</f>
        <v>5</v>
      </c>
      <c r="I230" s="1">
        <f>IFERROR(__xludf.DUMMYFUNCTION("""COMPUTED_VALUE"""),9.0)</f>
        <v>9</v>
      </c>
      <c r="J230" s="1">
        <f>IFERROR(__xludf.DUMMYFUNCTION("""COMPUTED_VALUE"""),937.0)</f>
        <v>937</v>
      </c>
      <c r="K230" s="1">
        <f>IFERROR(__xludf.DUMMYFUNCTION("""COMPUTED_VALUE"""),1.0)</f>
        <v>1</v>
      </c>
      <c r="L230" s="1">
        <f>IFERROR(__xludf.DUMMYFUNCTION("""COMPUTED_VALUE"""),11.0)</f>
        <v>11</v>
      </c>
      <c r="M230" s="1" t="str">
        <f>IFERROR(__xludf.DUMMYFUNCTION("""COMPUTED_VALUE"""),"2年247天")</f>
        <v>2年247天</v>
      </c>
      <c r="N230" s="1" t="str">
        <f>IFERROR(__xludf.DUMMYFUNCTION("""COMPUTED_VALUE"""),"政变")</f>
        <v>政变</v>
      </c>
      <c r="O230" s="1" t="str">
        <f>IFERROR(__xludf.DUMMYFUNCTION("""COMPUTED_VALUE"""),"废李从厚自立")</f>
        <v>废李从厚自立</v>
      </c>
    </row>
    <row r="231">
      <c r="A231" s="1" t="str">
        <f>IFERROR(__xludf.DUMMYFUNCTION("SPLIT(CSV!A:A,"","")"),"后蜀")</f>
        <v>后蜀</v>
      </c>
      <c r="B231" s="1">
        <f>IFERROR(__xludf.DUMMYFUNCTION("""COMPUTED_VALUE"""),2.0)</f>
        <v>2</v>
      </c>
      <c r="C231" s="1" t="str">
        <f>IFERROR(__xludf.DUMMYFUNCTION("""COMPUTED_VALUE"""),"-")</f>
        <v>-</v>
      </c>
      <c r="D231" s="1" t="str">
        <f>IFERROR(__xludf.DUMMYFUNCTION("""COMPUTED_VALUE"""),"-")</f>
        <v>-</v>
      </c>
      <c r="E231" s="1" t="str">
        <f>IFERROR(__xludf.DUMMYFUNCTION("""COMPUTED_VALUE"""),"后蜀后主")</f>
        <v>后蜀后主</v>
      </c>
      <c r="F231" s="1" t="str">
        <f>IFERROR(__xludf.DUMMYFUNCTION("""COMPUTED_VALUE"""),"孟昶")</f>
        <v>孟昶</v>
      </c>
      <c r="G231" s="1">
        <f>IFERROR(__xludf.DUMMYFUNCTION("""COMPUTED_VALUE"""),934.0)</f>
        <v>934</v>
      </c>
      <c r="H231" s="1">
        <f>IFERROR(__xludf.DUMMYFUNCTION("""COMPUTED_VALUE"""),9.0)</f>
        <v>9</v>
      </c>
      <c r="I231" s="1">
        <f>IFERROR(__xludf.DUMMYFUNCTION("""COMPUTED_VALUE"""),7.0)</f>
        <v>7</v>
      </c>
      <c r="J231" s="1">
        <f>IFERROR(__xludf.DUMMYFUNCTION("""COMPUTED_VALUE"""),965.0)</f>
        <v>965</v>
      </c>
      <c r="K231" s="1">
        <f>IFERROR(__xludf.DUMMYFUNCTION("""COMPUTED_VALUE"""),2.0)</f>
        <v>2</v>
      </c>
      <c r="L231" s="1">
        <f>IFERROR(__xludf.DUMMYFUNCTION("""COMPUTED_VALUE"""),23.0)</f>
        <v>23</v>
      </c>
      <c r="M231" s="1" t="str">
        <f>IFERROR(__xludf.DUMMYFUNCTION("""COMPUTED_VALUE"""),"30年169天")</f>
        <v>30年169天</v>
      </c>
      <c r="N231" s="1" t="str">
        <f>IFERROR(__xludf.DUMMYFUNCTION("""COMPUTED_VALUE"""),"继承")</f>
        <v>继承</v>
      </c>
      <c r="O231" s="1" t="str">
        <f>IFERROR(__xludf.DUMMYFUNCTION("""COMPUTED_VALUE"""),"孟知祥第三子，降宋")</f>
        <v>孟知祥第三子，降宋</v>
      </c>
    </row>
    <row r="232">
      <c r="A232" s="1" t="str">
        <f>IFERROR(__xludf.DUMMYFUNCTION("SPLIT(CSV!A:A,"","")"),"后晋")</f>
        <v>后晋</v>
      </c>
      <c r="B232" s="1">
        <f>IFERROR(__xludf.DUMMYFUNCTION("""COMPUTED_VALUE"""),1.0)</f>
        <v>1</v>
      </c>
      <c r="C232" s="1" t="str">
        <f>IFERROR(__xludf.DUMMYFUNCTION("""COMPUTED_VALUE"""),"高祖")</f>
        <v>高祖</v>
      </c>
      <c r="D232" s="1" t="str">
        <f>IFERROR(__xludf.DUMMYFUNCTION("""COMPUTED_VALUE"""),"圣文章武明德孝皇帝")</f>
        <v>圣文章武明德孝皇帝</v>
      </c>
      <c r="E232" s="1" t="str">
        <f>IFERROR(__xludf.DUMMYFUNCTION("""COMPUTED_VALUE"""),"晋高祖")</f>
        <v>晋高祖</v>
      </c>
      <c r="F232" s="1" t="str">
        <f>IFERROR(__xludf.DUMMYFUNCTION("""COMPUTED_VALUE"""),"石敬瑭")</f>
        <v>石敬瑭</v>
      </c>
      <c r="G232" s="1">
        <f>IFERROR(__xludf.DUMMYFUNCTION("""COMPUTED_VALUE"""),936.0)</f>
        <v>936</v>
      </c>
      <c r="H232" s="1">
        <f>IFERROR(__xludf.DUMMYFUNCTION("""COMPUTED_VALUE"""),11.0)</f>
        <v>11</v>
      </c>
      <c r="I232" s="1">
        <f>IFERROR(__xludf.DUMMYFUNCTION("""COMPUTED_VALUE"""),28.0)</f>
        <v>28</v>
      </c>
      <c r="J232" s="1">
        <f>IFERROR(__xludf.DUMMYFUNCTION("""COMPUTED_VALUE"""),942.0)</f>
        <v>942</v>
      </c>
      <c r="K232" s="1">
        <f>IFERROR(__xludf.DUMMYFUNCTION("""COMPUTED_VALUE"""),7.0)</f>
        <v>7</v>
      </c>
      <c r="L232" s="1">
        <f>IFERROR(__xludf.DUMMYFUNCTION("""COMPUTED_VALUE"""),28.0)</f>
        <v>28</v>
      </c>
      <c r="M232" s="1" t="str">
        <f>IFERROR(__xludf.DUMMYFUNCTION("""COMPUTED_VALUE"""),"5年242天")</f>
        <v>5年242天</v>
      </c>
      <c r="N232" s="1" t="str">
        <f>IFERROR(__xludf.DUMMYFUNCTION("""COMPUTED_VALUE"""),"篡位")</f>
        <v>篡位</v>
      </c>
      <c r="O232" s="1" t="str">
        <f>IFERROR(__xludf.DUMMYFUNCTION("""COMPUTED_VALUE"""),"借契丹兵灭后唐，受册封称帝")</f>
        <v>借契丹兵灭后唐，受册封称帝</v>
      </c>
    </row>
    <row r="233">
      <c r="A233" s="1" t="str">
        <f>IFERROR(__xludf.DUMMYFUNCTION("SPLIT(CSV!A:A,"","")"),"南唐")</f>
        <v>南唐</v>
      </c>
      <c r="B233" s="1">
        <f>IFERROR(__xludf.DUMMYFUNCTION("""COMPUTED_VALUE"""),1.0)</f>
        <v>1</v>
      </c>
      <c r="C233" s="1" t="str">
        <f>IFERROR(__xludf.DUMMYFUNCTION("""COMPUTED_VALUE"""),"烈祖")</f>
        <v>烈祖</v>
      </c>
      <c r="D233" s="1" t="str">
        <f>IFERROR(__xludf.DUMMYFUNCTION("""COMPUTED_VALUE"""),"光文肃武孝高皇帝")</f>
        <v>光文肃武孝高皇帝</v>
      </c>
      <c r="E233" s="1" t="str">
        <f>IFERROR(__xludf.DUMMYFUNCTION("""COMPUTED_VALUE"""),"唐烈祖")</f>
        <v>唐烈祖</v>
      </c>
      <c r="F233" s="1" t="str">
        <f>IFERROR(__xludf.DUMMYFUNCTION("""COMPUTED_VALUE"""),"李昪")</f>
        <v>李昪</v>
      </c>
      <c r="G233" s="1">
        <f>IFERROR(__xludf.DUMMYFUNCTION("""COMPUTED_VALUE"""),937.0)</f>
        <v>937</v>
      </c>
      <c r="H233" s="1">
        <f>IFERROR(__xludf.DUMMYFUNCTION("""COMPUTED_VALUE"""),11.0)</f>
        <v>11</v>
      </c>
      <c r="I233" s="1">
        <f>IFERROR(__xludf.DUMMYFUNCTION("""COMPUTED_VALUE"""),10.0)</f>
        <v>10</v>
      </c>
      <c r="J233" s="1">
        <f>IFERROR(__xludf.DUMMYFUNCTION("""COMPUTED_VALUE"""),943.0)</f>
        <v>943</v>
      </c>
      <c r="K233" s="1">
        <f>IFERROR(__xludf.DUMMYFUNCTION("""COMPUTED_VALUE"""),3.0)</f>
        <v>3</v>
      </c>
      <c r="L233" s="1">
        <f>IFERROR(__xludf.DUMMYFUNCTION("""COMPUTED_VALUE"""),30.0)</f>
        <v>30</v>
      </c>
      <c r="M233" s="1" t="str">
        <f>IFERROR(__xludf.DUMMYFUNCTION("""COMPUTED_VALUE"""),"5年140天")</f>
        <v>5年140天</v>
      </c>
      <c r="N233" s="1" t="str">
        <f>IFERROR(__xludf.DUMMYFUNCTION("""COMPUTED_VALUE"""),"受禅")</f>
        <v>受禅</v>
      </c>
      <c r="O233" s="1" t="str">
        <f>IFERROR(__xludf.DUMMYFUNCTION("""COMPUTED_VALUE"""),"废吴帝杨溥自立")</f>
        <v>废吴帝杨溥自立</v>
      </c>
    </row>
    <row r="234">
      <c r="A234" s="1" t="str">
        <f>IFERROR(__xludf.DUMMYFUNCTION("SPLIT(CSV!A:A,"","")"),"后晋")</f>
        <v>后晋</v>
      </c>
      <c r="B234" s="1">
        <f>IFERROR(__xludf.DUMMYFUNCTION("""COMPUTED_VALUE"""),2.0)</f>
        <v>2</v>
      </c>
      <c r="C234" s="1" t="str">
        <f>IFERROR(__xludf.DUMMYFUNCTION("""COMPUTED_VALUE"""),"-")</f>
        <v>-</v>
      </c>
      <c r="D234" s="1" t="str">
        <f>IFERROR(__xludf.DUMMYFUNCTION("""COMPUTED_VALUE"""),"-")</f>
        <v>-</v>
      </c>
      <c r="E234" s="1" t="str">
        <f>IFERROR(__xludf.DUMMYFUNCTION("""COMPUTED_VALUE"""),"晋出帝")</f>
        <v>晋出帝</v>
      </c>
      <c r="F234" s="1" t="str">
        <f>IFERROR(__xludf.DUMMYFUNCTION("""COMPUTED_VALUE"""),"石重贵")</f>
        <v>石重贵</v>
      </c>
      <c r="G234" s="1">
        <f>IFERROR(__xludf.DUMMYFUNCTION("""COMPUTED_VALUE"""),942.0)</f>
        <v>942</v>
      </c>
      <c r="H234" s="1">
        <f>IFERROR(__xludf.DUMMYFUNCTION("""COMPUTED_VALUE"""),7.0)</f>
        <v>7</v>
      </c>
      <c r="I234" s="1">
        <f>IFERROR(__xludf.DUMMYFUNCTION("""COMPUTED_VALUE"""),28.0)</f>
        <v>28</v>
      </c>
      <c r="J234" s="1">
        <f>IFERROR(__xludf.DUMMYFUNCTION("""COMPUTED_VALUE"""),947.0)</f>
        <v>947</v>
      </c>
      <c r="K234" s="1">
        <f>IFERROR(__xludf.DUMMYFUNCTION("""COMPUTED_VALUE"""),1.0)</f>
        <v>1</v>
      </c>
      <c r="L234" s="1">
        <f>IFERROR(__xludf.DUMMYFUNCTION("""COMPUTED_VALUE"""),11.0)</f>
        <v>11</v>
      </c>
      <c r="M234" s="1" t="str">
        <f>IFERROR(__xludf.DUMMYFUNCTION("""COMPUTED_VALUE"""),"4年167天")</f>
        <v>4年167天</v>
      </c>
      <c r="N234" s="1" t="str">
        <f>IFERROR(__xludf.DUMMYFUNCTION("""COMPUTED_VALUE"""),"继承")</f>
        <v>继承</v>
      </c>
      <c r="O234" s="1" t="str">
        <f>IFERROR(__xludf.DUMMYFUNCTION("""COMPUTED_VALUE"""),"石敬瑭之侄")</f>
        <v>石敬瑭之侄</v>
      </c>
    </row>
    <row r="235">
      <c r="A235" s="1" t="str">
        <f>IFERROR(__xludf.DUMMYFUNCTION("SPLIT(CSV!A:A,"","")"),"南唐")</f>
        <v>南唐</v>
      </c>
      <c r="B235" s="1">
        <f>IFERROR(__xludf.DUMMYFUNCTION("""COMPUTED_VALUE"""),2.0)</f>
        <v>2</v>
      </c>
      <c r="C235" s="1" t="str">
        <f>IFERROR(__xludf.DUMMYFUNCTION("""COMPUTED_VALUE"""),"元宗")</f>
        <v>元宗</v>
      </c>
      <c r="D235" s="1" t="str">
        <f>IFERROR(__xludf.DUMMYFUNCTION("""COMPUTED_VALUE"""),"明道崇德文宣孝皇帝")</f>
        <v>明道崇德文宣孝皇帝</v>
      </c>
      <c r="E235" s="1" t="str">
        <f>IFERROR(__xludf.DUMMYFUNCTION("""COMPUTED_VALUE"""),"唐元宗")</f>
        <v>唐元宗</v>
      </c>
      <c r="F235" s="1" t="str">
        <f>IFERROR(__xludf.DUMMYFUNCTION("""COMPUTED_VALUE"""),"李璟")</f>
        <v>李璟</v>
      </c>
      <c r="G235" s="1">
        <f>IFERROR(__xludf.DUMMYFUNCTION("""COMPUTED_VALUE"""),943.0)</f>
        <v>943</v>
      </c>
      <c r="H235" s="1">
        <f>IFERROR(__xludf.DUMMYFUNCTION("""COMPUTED_VALUE"""),3.0)</f>
        <v>3</v>
      </c>
      <c r="I235" s="1">
        <f>IFERROR(__xludf.DUMMYFUNCTION("""COMPUTED_VALUE"""),30.0)</f>
        <v>30</v>
      </c>
      <c r="J235" s="1">
        <f>IFERROR(__xludf.DUMMYFUNCTION("""COMPUTED_VALUE"""),961.0)</f>
        <v>961</v>
      </c>
      <c r="K235" s="1">
        <f>IFERROR(__xludf.DUMMYFUNCTION("""COMPUTED_VALUE"""),8.0)</f>
        <v>8</v>
      </c>
      <c r="L235" s="1">
        <f>IFERROR(__xludf.DUMMYFUNCTION("""COMPUTED_VALUE"""),12.0)</f>
        <v>12</v>
      </c>
      <c r="M235" s="1" t="str">
        <f>IFERROR(__xludf.DUMMYFUNCTION("""COMPUTED_VALUE"""),"18年135天")</f>
        <v>18年135天</v>
      </c>
      <c r="N235" s="1" t="str">
        <f>IFERROR(__xludf.DUMMYFUNCTION("""COMPUTED_VALUE"""),"继承")</f>
        <v>继承</v>
      </c>
      <c r="O235" s="1" t="str">
        <f>IFERROR(__xludf.DUMMYFUNCTION("""COMPUTED_VALUE"""),"李昪长子")</f>
        <v>李昪长子</v>
      </c>
    </row>
    <row r="236">
      <c r="A236" s="1" t="str">
        <f>IFERROR(__xludf.DUMMYFUNCTION("SPLIT(CSV!A:A,"","")"),"后汉")</f>
        <v>后汉</v>
      </c>
      <c r="B236" s="1">
        <f>IFERROR(__xludf.DUMMYFUNCTION("""COMPUTED_VALUE"""),1.0)</f>
        <v>1</v>
      </c>
      <c r="C236" s="1" t="str">
        <f>IFERROR(__xludf.DUMMYFUNCTION("""COMPUTED_VALUE"""),"高祖")</f>
        <v>高祖</v>
      </c>
      <c r="D236" s="1" t="str">
        <f>IFERROR(__xludf.DUMMYFUNCTION("""COMPUTED_VALUE"""),"睿文圣武昭肃孝皇帝")</f>
        <v>睿文圣武昭肃孝皇帝</v>
      </c>
      <c r="E236" s="1" t="str">
        <f>IFERROR(__xludf.DUMMYFUNCTION("""COMPUTED_VALUE"""),"汉高祖")</f>
        <v>汉高祖</v>
      </c>
      <c r="F236" s="1" t="str">
        <f>IFERROR(__xludf.DUMMYFUNCTION("""COMPUTED_VALUE"""),"刘知远")</f>
        <v>刘知远</v>
      </c>
      <c r="G236" s="1">
        <f>IFERROR(__xludf.DUMMYFUNCTION("""COMPUTED_VALUE"""),947.0)</f>
        <v>947</v>
      </c>
      <c r="H236" s="1">
        <f>IFERROR(__xludf.DUMMYFUNCTION("""COMPUTED_VALUE"""),3.0)</f>
        <v>3</v>
      </c>
      <c r="I236" s="1">
        <f>IFERROR(__xludf.DUMMYFUNCTION("""COMPUTED_VALUE"""),10.0)</f>
        <v>10</v>
      </c>
      <c r="J236" s="1">
        <f>IFERROR(__xludf.DUMMYFUNCTION("""COMPUTED_VALUE"""),948.0)</f>
        <v>948</v>
      </c>
      <c r="K236" s="1">
        <f>IFERROR(__xludf.DUMMYFUNCTION("""COMPUTED_VALUE"""),3.0)</f>
        <v>3</v>
      </c>
      <c r="L236" s="1">
        <f>IFERROR(__xludf.DUMMYFUNCTION("""COMPUTED_VALUE"""),10.0)</f>
        <v>10</v>
      </c>
      <c r="M236" s="1" t="str">
        <f>IFERROR(__xludf.DUMMYFUNCTION("""COMPUTED_VALUE"""),"1年0天")</f>
        <v>1年0天</v>
      </c>
      <c r="N236" s="1" t="str">
        <f>IFERROR(__xludf.DUMMYFUNCTION("""COMPUTED_VALUE"""),"自立")</f>
        <v>自立</v>
      </c>
      <c r="O236" s="1" t="str">
        <f>IFERROR(__xludf.DUMMYFUNCTION("""COMPUTED_VALUE"""),"后晋亡后于太原称帝")</f>
        <v>后晋亡后于太原称帝</v>
      </c>
    </row>
    <row r="237">
      <c r="A237" s="1" t="str">
        <f>IFERROR(__xludf.DUMMYFUNCTION("SPLIT(CSV!A:A,"","")"),"辽朝")</f>
        <v>辽朝</v>
      </c>
      <c r="B237" s="1">
        <f>IFERROR(__xludf.DUMMYFUNCTION("""COMPUTED_VALUE"""),3.0)</f>
        <v>3</v>
      </c>
      <c r="C237" s="1" t="str">
        <f>IFERROR(__xludf.DUMMYFUNCTION("""COMPUTED_VALUE"""),"世宗")</f>
        <v>世宗</v>
      </c>
      <c r="D237" s="1" t="str">
        <f>IFERROR(__xludf.DUMMYFUNCTION("""COMPUTED_VALUE"""),"孝和庄宪皇帝")</f>
        <v>孝和庄宪皇帝</v>
      </c>
      <c r="E237" s="1" t="str">
        <f>IFERROR(__xludf.DUMMYFUNCTION("""COMPUTED_VALUE"""),"辽世宗")</f>
        <v>辽世宗</v>
      </c>
      <c r="F237" s="1" t="str">
        <f>IFERROR(__xludf.DUMMYFUNCTION("""COMPUTED_VALUE"""),"耶律阮")</f>
        <v>耶律阮</v>
      </c>
      <c r="G237" s="1">
        <f>IFERROR(__xludf.DUMMYFUNCTION("""COMPUTED_VALUE"""),947.0)</f>
        <v>947</v>
      </c>
      <c r="H237" s="1">
        <f>IFERROR(__xludf.DUMMYFUNCTION("""COMPUTED_VALUE"""),5.0)</f>
        <v>5</v>
      </c>
      <c r="I237" s="1">
        <f>IFERROR(__xludf.DUMMYFUNCTION("""COMPUTED_VALUE"""),16.0)</f>
        <v>16</v>
      </c>
      <c r="J237" s="1">
        <f>IFERROR(__xludf.DUMMYFUNCTION("""COMPUTED_VALUE"""),951.0)</f>
        <v>951</v>
      </c>
      <c r="K237" s="1">
        <f>IFERROR(__xludf.DUMMYFUNCTION("""COMPUTED_VALUE"""),10.0)</f>
        <v>10</v>
      </c>
      <c r="L237" s="1">
        <f>IFERROR(__xludf.DUMMYFUNCTION("""COMPUTED_VALUE"""),7.0)</f>
        <v>7</v>
      </c>
      <c r="M237" s="1" t="str">
        <f>IFERROR(__xludf.DUMMYFUNCTION("""COMPUTED_VALUE"""),"4年144天")</f>
        <v>4年144天</v>
      </c>
      <c r="N237" s="1" t="str">
        <f>IFERROR(__xludf.DUMMYFUNCTION("""COMPUTED_VALUE"""),"自立")</f>
        <v>自立</v>
      </c>
      <c r="O237" s="1" t="str">
        <f>IFERROR(__xludf.DUMMYFUNCTION("""COMPUTED_VALUE"""),"辽太祖长孙，耶律倍之子")</f>
        <v>辽太祖长孙，耶律倍之子</v>
      </c>
    </row>
    <row r="238">
      <c r="A238" s="1" t="str">
        <f>IFERROR(__xludf.DUMMYFUNCTION("SPLIT(CSV!A:A,"","")"),"后汉")</f>
        <v>后汉</v>
      </c>
      <c r="B238" s="1">
        <f>IFERROR(__xludf.DUMMYFUNCTION("""COMPUTED_VALUE"""),2.0)</f>
        <v>2</v>
      </c>
      <c r="C238" s="1" t="str">
        <f>IFERROR(__xludf.DUMMYFUNCTION("""COMPUTED_VALUE"""),"-")</f>
        <v>-</v>
      </c>
      <c r="D238" s="1" t="str">
        <f>IFERROR(__xludf.DUMMYFUNCTION("""COMPUTED_VALUE"""),"隐皇帝")</f>
        <v>隐皇帝</v>
      </c>
      <c r="E238" s="1" t="str">
        <f>IFERROR(__xludf.DUMMYFUNCTION("""COMPUTED_VALUE"""),"汉隐帝")</f>
        <v>汉隐帝</v>
      </c>
      <c r="F238" s="1" t="str">
        <f>IFERROR(__xludf.DUMMYFUNCTION("""COMPUTED_VALUE"""),"刘承祐")</f>
        <v>刘承祐</v>
      </c>
      <c r="G238" s="1">
        <f>IFERROR(__xludf.DUMMYFUNCTION("""COMPUTED_VALUE"""),948.0)</f>
        <v>948</v>
      </c>
      <c r="H238" s="1">
        <f>IFERROR(__xludf.DUMMYFUNCTION("""COMPUTED_VALUE"""),3.0)</f>
        <v>3</v>
      </c>
      <c r="I238" s="1">
        <f>IFERROR(__xludf.DUMMYFUNCTION("""COMPUTED_VALUE"""),10.0)</f>
        <v>10</v>
      </c>
      <c r="J238" s="1">
        <f>IFERROR(__xludf.DUMMYFUNCTION("""COMPUTED_VALUE"""),950.0)</f>
        <v>950</v>
      </c>
      <c r="K238" s="1">
        <f>IFERROR(__xludf.DUMMYFUNCTION("""COMPUTED_VALUE"""),11.0)</f>
        <v>11</v>
      </c>
      <c r="L238" s="1">
        <f>IFERROR(__xludf.DUMMYFUNCTION("""COMPUTED_VALUE"""),22.0)</f>
        <v>22</v>
      </c>
      <c r="M238" s="1" t="str">
        <f>IFERROR(__xludf.DUMMYFUNCTION("""COMPUTED_VALUE"""),"2年257天")</f>
        <v>2年257天</v>
      </c>
      <c r="N238" s="1" t="str">
        <f>IFERROR(__xludf.DUMMYFUNCTION("""COMPUTED_VALUE"""),"继承")</f>
        <v>继承</v>
      </c>
      <c r="O238" s="1" t="str">
        <f>IFERROR(__xludf.DUMMYFUNCTION("""COMPUTED_VALUE"""),"刘知远次子")</f>
        <v>刘知远次子</v>
      </c>
    </row>
    <row r="239">
      <c r="A239" s="1" t="str">
        <f>IFERROR(__xludf.DUMMYFUNCTION("SPLIT(CSV!A:A,"","")"),"后周")</f>
        <v>后周</v>
      </c>
      <c r="B239" s="1">
        <f>IFERROR(__xludf.DUMMYFUNCTION("""COMPUTED_VALUE"""),1.0)</f>
        <v>1</v>
      </c>
      <c r="C239" s="1" t="str">
        <f>IFERROR(__xludf.DUMMYFUNCTION("""COMPUTED_VALUE"""),"太祖")</f>
        <v>太祖</v>
      </c>
      <c r="D239" s="1" t="str">
        <f>IFERROR(__xludf.DUMMYFUNCTION("""COMPUTED_VALUE"""),"圣神恭肃文武孝皇帝")</f>
        <v>圣神恭肃文武孝皇帝</v>
      </c>
      <c r="E239" s="1" t="str">
        <f>IFERROR(__xludf.DUMMYFUNCTION("""COMPUTED_VALUE"""),"周太祖")</f>
        <v>周太祖</v>
      </c>
      <c r="F239" s="1" t="str">
        <f>IFERROR(__xludf.DUMMYFUNCTION("""COMPUTED_VALUE"""),"郭威")</f>
        <v>郭威</v>
      </c>
      <c r="G239" s="1">
        <f>IFERROR(__xludf.DUMMYFUNCTION("""COMPUTED_VALUE"""),951.0)</f>
        <v>951</v>
      </c>
      <c r="H239" s="1">
        <f>IFERROR(__xludf.DUMMYFUNCTION("""COMPUTED_VALUE"""),2.0)</f>
        <v>2</v>
      </c>
      <c r="I239" s="1">
        <f>IFERROR(__xludf.DUMMYFUNCTION("""COMPUTED_VALUE"""),13.0)</f>
        <v>13</v>
      </c>
      <c r="J239" s="1">
        <f>IFERROR(__xludf.DUMMYFUNCTION("""COMPUTED_VALUE"""),954.0)</f>
        <v>954</v>
      </c>
      <c r="K239" s="1">
        <f>IFERROR(__xludf.DUMMYFUNCTION("""COMPUTED_VALUE"""),2.0)</f>
        <v>2</v>
      </c>
      <c r="L239" s="1">
        <f>IFERROR(__xludf.DUMMYFUNCTION("""COMPUTED_VALUE"""),22.0)</f>
        <v>22</v>
      </c>
      <c r="M239" s="1" t="str">
        <f>IFERROR(__xludf.DUMMYFUNCTION("""COMPUTED_VALUE"""),"3年9天")</f>
        <v>3年9天</v>
      </c>
      <c r="N239" s="1" t="str">
        <f>IFERROR(__xludf.DUMMYFUNCTION("""COMPUTED_VALUE"""),"受禅")</f>
        <v>受禅</v>
      </c>
      <c r="O239" s="1" t="str">
        <f>IFERROR(__xludf.DUMMYFUNCTION("""COMPUTED_VALUE"""),"废后汉建立后周")</f>
        <v>废后汉建立后周</v>
      </c>
    </row>
    <row r="240">
      <c r="A240" s="1" t="str">
        <f>IFERROR(__xludf.DUMMYFUNCTION("SPLIT(CSV!A:A,"","")"),"辽朝")</f>
        <v>辽朝</v>
      </c>
      <c r="B240" s="1">
        <f>IFERROR(__xludf.DUMMYFUNCTION("""COMPUTED_VALUE"""),4.0)</f>
        <v>4</v>
      </c>
      <c r="C240" s="1" t="str">
        <f>IFERROR(__xludf.DUMMYFUNCTION("""COMPUTED_VALUE"""),"穆宗")</f>
        <v>穆宗</v>
      </c>
      <c r="D240" s="1" t="str">
        <f>IFERROR(__xludf.DUMMYFUNCTION("""COMPUTED_VALUE"""),"孝安敬正皇帝")</f>
        <v>孝安敬正皇帝</v>
      </c>
      <c r="E240" s="1" t="str">
        <f>IFERROR(__xludf.DUMMYFUNCTION("""COMPUTED_VALUE"""),"辽穆宗")</f>
        <v>辽穆宗</v>
      </c>
      <c r="F240" s="1" t="str">
        <f>IFERROR(__xludf.DUMMYFUNCTION("""COMPUTED_VALUE"""),"耶律璟")</f>
        <v>耶律璟</v>
      </c>
      <c r="G240" s="1">
        <f>IFERROR(__xludf.DUMMYFUNCTION("""COMPUTED_VALUE"""),951.0)</f>
        <v>951</v>
      </c>
      <c r="H240" s="1">
        <f>IFERROR(__xludf.DUMMYFUNCTION("""COMPUTED_VALUE"""),10.0)</f>
        <v>10</v>
      </c>
      <c r="I240" s="1">
        <f>IFERROR(__xludf.DUMMYFUNCTION("""COMPUTED_VALUE"""),11.0)</f>
        <v>11</v>
      </c>
      <c r="J240" s="1">
        <f>IFERROR(__xludf.DUMMYFUNCTION("""COMPUTED_VALUE"""),969.0)</f>
        <v>969</v>
      </c>
      <c r="K240" s="1">
        <f>IFERROR(__xludf.DUMMYFUNCTION("""COMPUTED_VALUE"""),3.0)</f>
        <v>3</v>
      </c>
      <c r="L240" s="1">
        <f>IFERROR(__xludf.DUMMYFUNCTION("""COMPUTED_VALUE"""),12.0)</f>
        <v>12</v>
      </c>
      <c r="M240" s="1" t="str">
        <f>IFERROR(__xludf.DUMMYFUNCTION("""COMPUTED_VALUE"""),"17年152天")</f>
        <v>17年152天</v>
      </c>
      <c r="N240" s="1" t="str">
        <f>IFERROR(__xludf.DUMMYFUNCTION("""COMPUTED_VALUE"""),"继承")</f>
        <v>继承</v>
      </c>
      <c r="O240" s="1" t="str">
        <f>IFERROR(__xludf.DUMMYFUNCTION("""COMPUTED_VALUE"""),"辽太宗长子")</f>
        <v>辽太宗长子</v>
      </c>
    </row>
    <row r="241">
      <c r="A241" s="1" t="str">
        <f>IFERROR(__xludf.DUMMYFUNCTION("SPLIT(CSV!A:A,"","")"),"后周")</f>
        <v>后周</v>
      </c>
      <c r="B241" s="1">
        <f>IFERROR(__xludf.DUMMYFUNCTION("""COMPUTED_VALUE"""),2.0)</f>
        <v>2</v>
      </c>
      <c r="C241" s="1" t="str">
        <f>IFERROR(__xludf.DUMMYFUNCTION("""COMPUTED_VALUE"""),"世宗")</f>
        <v>世宗</v>
      </c>
      <c r="D241" s="1" t="str">
        <f>IFERROR(__xludf.DUMMYFUNCTION("""COMPUTED_VALUE"""),"睿武孝文皇帝")</f>
        <v>睿武孝文皇帝</v>
      </c>
      <c r="E241" s="1" t="str">
        <f>IFERROR(__xludf.DUMMYFUNCTION("""COMPUTED_VALUE"""),"周世宗")</f>
        <v>周世宗</v>
      </c>
      <c r="F241" s="1" t="str">
        <f>IFERROR(__xludf.DUMMYFUNCTION("""COMPUTED_VALUE"""),"柴荣")</f>
        <v>柴荣</v>
      </c>
      <c r="G241" s="1">
        <f>IFERROR(__xludf.DUMMYFUNCTION("""COMPUTED_VALUE"""),954.0)</f>
        <v>954</v>
      </c>
      <c r="H241" s="1">
        <f>IFERROR(__xludf.DUMMYFUNCTION("""COMPUTED_VALUE"""),2.0)</f>
        <v>2</v>
      </c>
      <c r="I241" s="1">
        <f>IFERROR(__xludf.DUMMYFUNCTION("""COMPUTED_VALUE"""),22.0)</f>
        <v>22</v>
      </c>
      <c r="J241" s="1">
        <f>IFERROR(__xludf.DUMMYFUNCTION("""COMPUTED_VALUE"""),959.0)</f>
        <v>959</v>
      </c>
      <c r="K241" s="1">
        <f>IFERROR(__xludf.DUMMYFUNCTION("""COMPUTED_VALUE"""),7.0)</f>
        <v>7</v>
      </c>
      <c r="L241" s="1">
        <f>IFERROR(__xludf.DUMMYFUNCTION("""COMPUTED_VALUE"""),27.0)</f>
        <v>27</v>
      </c>
      <c r="M241" s="1" t="str">
        <f>IFERROR(__xludf.DUMMYFUNCTION("""COMPUTED_VALUE"""),"5年155天")</f>
        <v>5年155天</v>
      </c>
      <c r="N241" s="1" t="str">
        <f>IFERROR(__xludf.DUMMYFUNCTION("""COMPUTED_VALUE"""),"继承")</f>
        <v>继承</v>
      </c>
      <c r="O241" s="1" t="str">
        <f>IFERROR(__xludf.DUMMYFUNCTION("""COMPUTED_VALUE"""),"郭威内侄兼养子")</f>
        <v>郭威内侄兼养子</v>
      </c>
    </row>
    <row r="242">
      <c r="A242" s="1" t="str">
        <f>IFERROR(__xludf.DUMMYFUNCTION("SPLIT(CSV!A:A,"","")"),"后周")</f>
        <v>后周</v>
      </c>
      <c r="B242" s="1">
        <f>IFERROR(__xludf.DUMMYFUNCTION("""COMPUTED_VALUE"""),3.0)</f>
        <v>3</v>
      </c>
      <c r="C242" s="1" t="str">
        <f>IFERROR(__xludf.DUMMYFUNCTION("""COMPUTED_VALUE"""),"-")</f>
        <v>-</v>
      </c>
      <c r="D242" s="1" t="str">
        <f>IFERROR(__xludf.DUMMYFUNCTION("""COMPUTED_VALUE"""),"恭皇帝")</f>
        <v>恭皇帝</v>
      </c>
      <c r="E242" s="1" t="str">
        <f>IFERROR(__xludf.DUMMYFUNCTION("""COMPUTED_VALUE"""),"周恭帝")</f>
        <v>周恭帝</v>
      </c>
      <c r="F242" s="1" t="str">
        <f>IFERROR(__xludf.DUMMYFUNCTION("""COMPUTED_VALUE"""),"柴宗训")</f>
        <v>柴宗训</v>
      </c>
      <c r="G242" s="1">
        <f>IFERROR(__xludf.DUMMYFUNCTION("""COMPUTED_VALUE"""),959.0)</f>
        <v>959</v>
      </c>
      <c r="H242" s="1">
        <f>IFERROR(__xludf.DUMMYFUNCTION("""COMPUTED_VALUE"""),7.0)</f>
        <v>7</v>
      </c>
      <c r="I242" s="1">
        <f>IFERROR(__xludf.DUMMYFUNCTION("""COMPUTED_VALUE"""),27.0)</f>
        <v>27</v>
      </c>
      <c r="J242" s="1">
        <f>IFERROR(__xludf.DUMMYFUNCTION("""COMPUTED_VALUE"""),960.0)</f>
        <v>960</v>
      </c>
      <c r="K242" s="1">
        <f>IFERROR(__xludf.DUMMYFUNCTION("""COMPUTED_VALUE"""),2.0)</f>
        <v>2</v>
      </c>
      <c r="L242" s="1">
        <f>IFERROR(__xludf.DUMMYFUNCTION("""COMPUTED_VALUE"""),3.0)</f>
        <v>3</v>
      </c>
      <c r="M242" s="1" t="str">
        <f>IFERROR(__xludf.DUMMYFUNCTION("""COMPUTED_VALUE"""),"191天")</f>
        <v>191天</v>
      </c>
      <c r="N242" s="1" t="str">
        <f>IFERROR(__xludf.DUMMYFUNCTION("""COMPUTED_VALUE"""),"继承")</f>
        <v>继承</v>
      </c>
      <c r="O242" s="1" t="str">
        <f>IFERROR(__xludf.DUMMYFUNCTION("""COMPUTED_VALUE"""),"柴荣第四子")</f>
        <v>柴荣第四子</v>
      </c>
    </row>
    <row r="243">
      <c r="A243" s="1" t="str">
        <f>IFERROR(__xludf.DUMMYFUNCTION("SPLIT(CSV!A:A,"","")"),"北宋")</f>
        <v>北宋</v>
      </c>
      <c r="B243" s="1">
        <f>IFERROR(__xludf.DUMMYFUNCTION("""COMPUTED_VALUE"""),1.0)</f>
        <v>1</v>
      </c>
      <c r="C243" s="1" t="str">
        <f>IFERROR(__xludf.DUMMYFUNCTION("""COMPUTED_VALUE"""),"太祖")</f>
        <v>太祖</v>
      </c>
      <c r="D243" s="1" t="str">
        <f>IFERROR(__xludf.DUMMYFUNCTION("""COMPUTED_VALUE"""),"启运立极英武睿文神德圣功至明大孝皇帝")</f>
        <v>启运立极英武睿文神德圣功至明大孝皇帝</v>
      </c>
      <c r="E243" s="1" t="str">
        <f>IFERROR(__xludf.DUMMYFUNCTION("""COMPUTED_VALUE"""),"宋太祖")</f>
        <v>宋太祖</v>
      </c>
      <c r="F243" s="1" t="str">
        <f>IFERROR(__xludf.DUMMYFUNCTION("""COMPUTED_VALUE"""),"赵匡胤")</f>
        <v>赵匡胤</v>
      </c>
      <c r="G243" s="1">
        <f>IFERROR(__xludf.DUMMYFUNCTION("""COMPUTED_VALUE"""),960.0)</f>
        <v>960</v>
      </c>
      <c r="H243" s="1">
        <f>IFERROR(__xludf.DUMMYFUNCTION("""COMPUTED_VALUE"""),2.0)</f>
        <v>2</v>
      </c>
      <c r="I243" s="1">
        <f>IFERROR(__xludf.DUMMYFUNCTION("""COMPUTED_VALUE"""),4.0)</f>
        <v>4</v>
      </c>
      <c r="J243" s="1">
        <f>IFERROR(__xludf.DUMMYFUNCTION("""COMPUTED_VALUE"""),976.0)</f>
        <v>976</v>
      </c>
      <c r="K243" s="1">
        <f>IFERROR(__xludf.DUMMYFUNCTION("""COMPUTED_VALUE"""),11.0)</f>
        <v>11</v>
      </c>
      <c r="L243" s="1">
        <f>IFERROR(__xludf.DUMMYFUNCTION("""COMPUTED_VALUE"""),14.0)</f>
        <v>14</v>
      </c>
      <c r="M243" s="1" t="str">
        <f>IFERROR(__xludf.DUMMYFUNCTION("""COMPUTED_VALUE"""),"16年284天")</f>
        <v>16年284天</v>
      </c>
      <c r="N243" s="1" t="str">
        <f>IFERROR(__xludf.DUMMYFUNCTION("""COMPUTED_VALUE"""),"受禅")</f>
        <v>受禅</v>
      </c>
      <c r="O243" s="1" t="str">
        <f>IFERROR(__xludf.DUMMYFUNCTION("""COMPUTED_VALUE"""),"陈桥兵变，受后周恭帝禅让")</f>
        <v>陈桥兵变，受后周恭帝禅让</v>
      </c>
    </row>
    <row r="244">
      <c r="A244" s="1" t="str">
        <f>IFERROR(__xludf.DUMMYFUNCTION("SPLIT(CSV!A:A,"","")"),"南唐")</f>
        <v>南唐</v>
      </c>
      <c r="B244" s="1">
        <f>IFERROR(__xludf.DUMMYFUNCTION("""COMPUTED_VALUE"""),3.0)</f>
        <v>3</v>
      </c>
      <c r="C244" s="1" t="str">
        <f>IFERROR(__xludf.DUMMYFUNCTION("""COMPUTED_VALUE"""),"-")</f>
        <v>-</v>
      </c>
      <c r="D244" s="1" t="str">
        <f>IFERROR(__xludf.DUMMYFUNCTION("""COMPUTED_VALUE"""),"-")</f>
        <v>-</v>
      </c>
      <c r="E244" s="1" t="str">
        <f>IFERROR(__xludf.DUMMYFUNCTION("""COMPUTED_VALUE"""),"李后主")</f>
        <v>李后主</v>
      </c>
      <c r="F244" s="1" t="str">
        <f>IFERROR(__xludf.DUMMYFUNCTION("""COMPUTED_VALUE"""),"李煜")</f>
        <v>李煜</v>
      </c>
      <c r="G244" s="1">
        <f>IFERROR(__xludf.DUMMYFUNCTION("""COMPUTED_VALUE"""),961.0)</f>
        <v>961</v>
      </c>
      <c r="H244" s="1">
        <f>IFERROR(__xludf.DUMMYFUNCTION("""COMPUTED_VALUE"""),8.0)</f>
        <v>8</v>
      </c>
      <c r="I244" s="1">
        <f>IFERROR(__xludf.DUMMYFUNCTION("""COMPUTED_VALUE"""),12.0)</f>
        <v>12</v>
      </c>
      <c r="J244" s="1">
        <f>IFERROR(__xludf.DUMMYFUNCTION("""COMPUTED_VALUE"""),976.0)</f>
        <v>976</v>
      </c>
      <c r="K244" s="1">
        <f>IFERROR(__xludf.DUMMYFUNCTION("""COMPUTED_VALUE"""),1.0)</f>
        <v>1</v>
      </c>
      <c r="L244" s="1">
        <f>IFERROR(__xludf.DUMMYFUNCTION("""COMPUTED_VALUE"""),1.0)</f>
        <v>1</v>
      </c>
      <c r="M244" s="1" t="str">
        <f>IFERROR(__xludf.DUMMYFUNCTION("""COMPUTED_VALUE"""),"14年142天")</f>
        <v>14年142天</v>
      </c>
      <c r="N244" s="1" t="str">
        <f>IFERROR(__xludf.DUMMYFUNCTION("""COMPUTED_VALUE"""),"继承")</f>
        <v>继承</v>
      </c>
      <c r="O244" s="1" t="str">
        <f>IFERROR(__xludf.DUMMYFUNCTION("""COMPUTED_VALUE"""),"降宋，南唐亡")</f>
        <v>降宋，南唐亡</v>
      </c>
    </row>
    <row r="245">
      <c r="A245" s="1" t="str">
        <f>IFERROR(__xludf.DUMMYFUNCTION("SPLIT(CSV!A:A,"","")"),"辽朝")</f>
        <v>辽朝</v>
      </c>
      <c r="B245" s="1">
        <f>IFERROR(__xludf.DUMMYFUNCTION("""COMPUTED_VALUE"""),5.0)</f>
        <v>5</v>
      </c>
      <c r="C245" s="1" t="str">
        <f>IFERROR(__xludf.DUMMYFUNCTION("""COMPUTED_VALUE"""),"景宗")</f>
        <v>景宗</v>
      </c>
      <c r="D245" s="1" t="str">
        <f>IFERROR(__xludf.DUMMYFUNCTION("""COMPUTED_VALUE"""),"孝成康靖皇帝")</f>
        <v>孝成康靖皇帝</v>
      </c>
      <c r="E245" s="1" t="str">
        <f>IFERROR(__xludf.DUMMYFUNCTION("""COMPUTED_VALUE"""),"辽景宗")</f>
        <v>辽景宗</v>
      </c>
      <c r="F245" s="1" t="str">
        <f>IFERROR(__xludf.DUMMYFUNCTION("""COMPUTED_VALUE"""),"耶律贤")</f>
        <v>耶律贤</v>
      </c>
      <c r="G245" s="1">
        <f>IFERROR(__xludf.DUMMYFUNCTION("""COMPUTED_VALUE"""),969.0)</f>
        <v>969</v>
      </c>
      <c r="H245" s="1">
        <f>IFERROR(__xludf.DUMMYFUNCTION("""COMPUTED_VALUE"""),3.0)</f>
        <v>3</v>
      </c>
      <c r="I245" s="1">
        <f>IFERROR(__xludf.DUMMYFUNCTION("""COMPUTED_VALUE"""),13.0)</f>
        <v>13</v>
      </c>
      <c r="J245" s="1">
        <f>IFERROR(__xludf.DUMMYFUNCTION("""COMPUTED_VALUE"""),982.0)</f>
        <v>982</v>
      </c>
      <c r="K245" s="1">
        <f>IFERROR(__xludf.DUMMYFUNCTION("""COMPUTED_VALUE"""),10.0)</f>
        <v>10</v>
      </c>
      <c r="L245" s="1">
        <f>IFERROR(__xludf.DUMMYFUNCTION("""COMPUTED_VALUE"""),13.0)</f>
        <v>13</v>
      </c>
      <c r="M245" s="1" t="str">
        <f>IFERROR(__xludf.DUMMYFUNCTION("""COMPUTED_VALUE"""),"13年214天")</f>
        <v>13年214天</v>
      </c>
      <c r="N245" s="1" t="str">
        <f>IFERROR(__xludf.DUMMYFUNCTION("""COMPUTED_VALUE"""),"继承")</f>
        <v>继承</v>
      </c>
      <c r="O245" s="1" t="str">
        <f>IFERROR(__xludf.DUMMYFUNCTION("""COMPUTED_VALUE"""),"辽世宗次子")</f>
        <v>辽世宗次子</v>
      </c>
    </row>
    <row r="246">
      <c r="A246" s="1" t="str">
        <f>IFERROR(__xludf.DUMMYFUNCTION("SPLIT(CSV!A:A,"","")"),"北宋")</f>
        <v>北宋</v>
      </c>
      <c r="B246" s="1">
        <f>IFERROR(__xludf.DUMMYFUNCTION("""COMPUTED_VALUE"""),2.0)</f>
        <v>2</v>
      </c>
      <c r="C246" s="1" t="str">
        <f>IFERROR(__xludf.DUMMYFUNCTION("""COMPUTED_VALUE"""),"太宗")</f>
        <v>太宗</v>
      </c>
      <c r="D246" s="1" t="str">
        <f>IFERROR(__xludf.DUMMYFUNCTION("""COMPUTED_VALUE"""),"至仁应道神功圣德文武睿烈大明广孝皇帝")</f>
        <v>至仁应道神功圣德文武睿烈大明广孝皇帝</v>
      </c>
      <c r="E246" s="1" t="str">
        <f>IFERROR(__xludf.DUMMYFUNCTION("""COMPUTED_VALUE"""),"宋太宗")</f>
        <v>宋太宗</v>
      </c>
      <c r="F246" s="1" t="str">
        <f>IFERROR(__xludf.DUMMYFUNCTION("""COMPUTED_VALUE"""),"赵炅")</f>
        <v>赵炅</v>
      </c>
      <c r="G246" s="1">
        <f>IFERROR(__xludf.DUMMYFUNCTION("""COMPUTED_VALUE"""),976.0)</f>
        <v>976</v>
      </c>
      <c r="H246" s="1">
        <f>IFERROR(__xludf.DUMMYFUNCTION("""COMPUTED_VALUE"""),11.0)</f>
        <v>11</v>
      </c>
      <c r="I246" s="1">
        <f>IFERROR(__xludf.DUMMYFUNCTION("""COMPUTED_VALUE"""),15.0)</f>
        <v>15</v>
      </c>
      <c r="J246" s="1">
        <f>IFERROR(__xludf.DUMMYFUNCTION("""COMPUTED_VALUE"""),997.0)</f>
        <v>997</v>
      </c>
      <c r="K246" s="1">
        <f>IFERROR(__xludf.DUMMYFUNCTION("""COMPUTED_VALUE"""),5.0)</f>
        <v>5</v>
      </c>
      <c r="L246" s="1">
        <f>IFERROR(__xludf.DUMMYFUNCTION("""COMPUTED_VALUE"""),8.0)</f>
        <v>8</v>
      </c>
      <c r="M246" s="1" t="str">
        <f>IFERROR(__xludf.DUMMYFUNCTION("""COMPUTED_VALUE"""),"20年174天")</f>
        <v>20年174天</v>
      </c>
      <c r="N246" s="1" t="str">
        <f>IFERROR(__xludf.DUMMYFUNCTION("""COMPUTED_VALUE"""),"继承")</f>
        <v>继承</v>
      </c>
      <c r="O246" s="1" t="str">
        <f>IFERROR(__xludf.DUMMYFUNCTION("""COMPUTED_VALUE"""),"宋太祖之弟")</f>
        <v>宋太祖之弟</v>
      </c>
    </row>
    <row r="247">
      <c r="A247" s="1" t="str">
        <f>IFERROR(__xludf.DUMMYFUNCTION("SPLIT(CSV!A:A,"","")"),"辽朝")</f>
        <v>辽朝</v>
      </c>
      <c r="B247" s="1">
        <f>IFERROR(__xludf.DUMMYFUNCTION("""COMPUTED_VALUE"""),6.0)</f>
        <v>6</v>
      </c>
      <c r="C247" s="1" t="str">
        <f>IFERROR(__xludf.DUMMYFUNCTION("""COMPUTED_VALUE"""),"圣宗")</f>
        <v>圣宗</v>
      </c>
      <c r="D247" s="1" t="str">
        <f>IFERROR(__xludf.DUMMYFUNCTION("""COMPUTED_VALUE"""),"文武大孝宣皇帝")</f>
        <v>文武大孝宣皇帝</v>
      </c>
      <c r="E247" s="1" t="str">
        <f>IFERROR(__xludf.DUMMYFUNCTION("""COMPUTED_VALUE"""),"辽圣宗")</f>
        <v>辽圣宗</v>
      </c>
      <c r="F247" s="1" t="str">
        <f>IFERROR(__xludf.DUMMYFUNCTION("""COMPUTED_VALUE"""),"耶律隆绪")</f>
        <v>耶律隆绪</v>
      </c>
      <c r="G247" s="1">
        <f>IFERROR(__xludf.DUMMYFUNCTION("""COMPUTED_VALUE"""),982.0)</f>
        <v>982</v>
      </c>
      <c r="H247" s="1">
        <f>IFERROR(__xludf.DUMMYFUNCTION("""COMPUTED_VALUE"""),10.0)</f>
        <v>10</v>
      </c>
      <c r="I247" s="1">
        <f>IFERROR(__xludf.DUMMYFUNCTION("""COMPUTED_VALUE"""),14.0)</f>
        <v>14</v>
      </c>
      <c r="J247" s="1">
        <f>IFERROR(__xludf.DUMMYFUNCTION("""COMPUTED_VALUE"""),1031.0)</f>
        <v>1031</v>
      </c>
      <c r="K247" s="1">
        <f>IFERROR(__xludf.DUMMYFUNCTION("""COMPUTED_VALUE"""),6.0)</f>
        <v>6</v>
      </c>
      <c r="L247" s="1">
        <f>IFERROR(__xludf.DUMMYFUNCTION("""COMPUTED_VALUE"""),25.0)</f>
        <v>25</v>
      </c>
      <c r="M247" s="1" t="str">
        <f>IFERROR(__xludf.DUMMYFUNCTION("""COMPUTED_VALUE"""),"48年254天")</f>
        <v>48年254天</v>
      </c>
      <c r="N247" s="1" t="str">
        <f>IFERROR(__xludf.DUMMYFUNCTION("""COMPUTED_VALUE"""),"继承")</f>
        <v>继承</v>
      </c>
      <c r="O247" s="1" t="str">
        <f>IFERROR(__xludf.DUMMYFUNCTION("""COMPUTED_VALUE"""),"辽景宗长子")</f>
        <v>辽景宗长子</v>
      </c>
    </row>
    <row r="248">
      <c r="A248" s="1" t="str">
        <f>IFERROR(__xludf.DUMMYFUNCTION("SPLIT(CSV!A:A,"","")"),"北宋")</f>
        <v>北宋</v>
      </c>
      <c r="B248" s="1">
        <f>IFERROR(__xludf.DUMMYFUNCTION("""COMPUTED_VALUE"""),3.0)</f>
        <v>3</v>
      </c>
      <c r="C248" s="1" t="str">
        <f>IFERROR(__xludf.DUMMYFUNCTION("""COMPUTED_VALUE"""),"真宗")</f>
        <v>真宗</v>
      </c>
      <c r="D248" s="1" t="str">
        <f>IFERROR(__xludf.DUMMYFUNCTION("""COMPUTED_VALUE"""),"赝符稽古神功让德文明武定章圣元孝皇帝")</f>
        <v>赝符稽古神功让德文明武定章圣元孝皇帝</v>
      </c>
      <c r="E248" s="1" t="str">
        <f>IFERROR(__xludf.DUMMYFUNCTION("""COMPUTED_VALUE"""),"宋真宗")</f>
        <v>宋真宗</v>
      </c>
      <c r="F248" s="1" t="str">
        <f>IFERROR(__xludf.DUMMYFUNCTION("""COMPUTED_VALUE"""),"赵恒")</f>
        <v>赵恒</v>
      </c>
      <c r="G248" s="1">
        <f>IFERROR(__xludf.DUMMYFUNCTION("""COMPUTED_VALUE"""),997.0)</f>
        <v>997</v>
      </c>
      <c r="H248" s="1">
        <f>IFERROR(__xludf.DUMMYFUNCTION("""COMPUTED_VALUE"""),5.0)</f>
        <v>5</v>
      </c>
      <c r="I248" s="1">
        <f>IFERROR(__xludf.DUMMYFUNCTION("""COMPUTED_VALUE"""),8.0)</f>
        <v>8</v>
      </c>
      <c r="J248" s="1">
        <f>IFERROR(__xludf.DUMMYFUNCTION("""COMPUTED_VALUE"""),1022.0)</f>
        <v>1022</v>
      </c>
      <c r="K248" s="1">
        <f>IFERROR(__xludf.DUMMYFUNCTION("""COMPUTED_VALUE"""),3.0)</f>
        <v>3</v>
      </c>
      <c r="L248" s="1">
        <f>IFERROR(__xludf.DUMMYFUNCTION("""COMPUTED_VALUE"""),23.0)</f>
        <v>23</v>
      </c>
      <c r="M248" s="1" t="str">
        <f>IFERROR(__xludf.DUMMYFUNCTION("""COMPUTED_VALUE"""),"24年319天")</f>
        <v>24年319天</v>
      </c>
      <c r="N248" s="1" t="str">
        <f>IFERROR(__xludf.DUMMYFUNCTION("""COMPUTED_VALUE"""),"继承")</f>
        <v>继承</v>
      </c>
      <c r="O248" s="1" t="str">
        <f>IFERROR(__xludf.DUMMYFUNCTION("""COMPUTED_VALUE"""),"宋太宗第三子")</f>
        <v>宋太宗第三子</v>
      </c>
    </row>
    <row r="249">
      <c r="A249" s="1" t="str">
        <f>IFERROR(__xludf.DUMMYFUNCTION("SPLIT(CSV!A:A,"","")"),"北宋")</f>
        <v>北宋</v>
      </c>
      <c r="B249" s="1">
        <f>IFERROR(__xludf.DUMMYFUNCTION("""COMPUTED_VALUE"""),4.0)</f>
        <v>4</v>
      </c>
      <c r="C249" s="1" t="str">
        <f>IFERROR(__xludf.DUMMYFUNCTION("""COMPUTED_VALUE"""),"仁宗")</f>
        <v>仁宗</v>
      </c>
      <c r="D249" s="1" t="str">
        <f>IFERROR(__xludf.DUMMYFUNCTION("""COMPUTED_VALUE"""),"体天法道极功全德神文圣武睿哲明孝皇帝")</f>
        <v>体天法道极功全德神文圣武睿哲明孝皇帝</v>
      </c>
      <c r="E249" s="1" t="str">
        <f>IFERROR(__xludf.DUMMYFUNCTION("""COMPUTED_VALUE"""),"宋仁宗")</f>
        <v>宋仁宗</v>
      </c>
      <c r="F249" s="1" t="str">
        <f>IFERROR(__xludf.DUMMYFUNCTION("""COMPUTED_VALUE"""),"赵祯")</f>
        <v>赵祯</v>
      </c>
      <c r="G249" s="1">
        <f>IFERROR(__xludf.DUMMYFUNCTION("""COMPUTED_VALUE"""),1022.0)</f>
        <v>1022</v>
      </c>
      <c r="H249" s="1">
        <f>IFERROR(__xludf.DUMMYFUNCTION("""COMPUTED_VALUE"""),3.0)</f>
        <v>3</v>
      </c>
      <c r="I249" s="1">
        <f>IFERROR(__xludf.DUMMYFUNCTION("""COMPUTED_VALUE"""),23.0)</f>
        <v>23</v>
      </c>
      <c r="J249" s="1">
        <f>IFERROR(__xludf.DUMMYFUNCTION("""COMPUTED_VALUE"""),1063.0)</f>
        <v>1063</v>
      </c>
      <c r="K249" s="1">
        <f>IFERROR(__xludf.DUMMYFUNCTION("""COMPUTED_VALUE"""),4.0)</f>
        <v>4</v>
      </c>
      <c r="L249" s="1">
        <f>IFERROR(__xludf.DUMMYFUNCTION("""COMPUTED_VALUE"""),30.0)</f>
        <v>30</v>
      </c>
      <c r="M249" s="1" t="str">
        <f>IFERROR(__xludf.DUMMYFUNCTION("""COMPUTED_VALUE"""),"41年38天")</f>
        <v>41年38天</v>
      </c>
      <c r="N249" s="1" t="str">
        <f>IFERROR(__xludf.DUMMYFUNCTION("""COMPUTED_VALUE"""),"继承")</f>
        <v>继承</v>
      </c>
      <c r="O249" s="1" t="str">
        <f>IFERROR(__xludf.DUMMYFUNCTION("""COMPUTED_VALUE"""),"宋真宗第六子")</f>
        <v>宋真宗第六子</v>
      </c>
    </row>
    <row r="250">
      <c r="A250" s="1" t="str">
        <f>IFERROR(__xludf.DUMMYFUNCTION("SPLIT(CSV!A:A,"","")"),"辽朝")</f>
        <v>辽朝</v>
      </c>
      <c r="B250" s="1">
        <f>IFERROR(__xludf.DUMMYFUNCTION("""COMPUTED_VALUE"""),7.0)</f>
        <v>7</v>
      </c>
      <c r="C250" s="1" t="str">
        <f>IFERROR(__xludf.DUMMYFUNCTION("""COMPUTED_VALUE"""),"兴宗")</f>
        <v>兴宗</v>
      </c>
      <c r="D250" s="1" t="str">
        <f>IFERROR(__xludf.DUMMYFUNCTION("""COMPUTED_VALUE"""),"神圣孝章皇帝")</f>
        <v>神圣孝章皇帝</v>
      </c>
      <c r="E250" s="1" t="str">
        <f>IFERROR(__xludf.DUMMYFUNCTION("""COMPUTED_VALUE"""),"辽兴宗")</f>
        <v>辽兴宗</v>
      </c>
      <c r="F250" s="1" t="str">
        <f>IFERROR(__xludf.DUMMYFUNCTION("""COMPUTED_VALUE"""),"耶律宗真")</f>
        <v>耶律宗真</v>
      </c>
      <c r="G250" s="1">
        <f>IFERROR(__xludf.DUMMYFUNCTION("""COMPUTED_VALUE"""),1031.0)</f>
        <v>1031</v>
      </c>
      <c r="H250" s="1">
        <f>IFERROR(__xludf.DUMMYFUNCTION("""COMPUTED_VALUE"""),6.0)</f>
        <v>6</v>
      </c>
      <c r="I250" s="1">
        <f>IFERROR(__xludf.DUMMYFUNCTION("""COMPUTED_VALUE"""),26.0)</f>
        <v>26</v>
      </c>
      <c r="J250" s="1">
        <f>IFERROR(__xludf.DUMMYFUNCTION("""COMPUTED_VALUE"""),1055.0)</f>
        <v>1055</v>
      </c>
      <c r="K250" s="1">
        <f>IFERROR(__xludf.DUMMYFUNCTION("""COMPUTED_VALUE"""),8.0)</f>
        <v>8</v>
      </c>
      <c r="L250" s="1">
        <f>IFERROR(__xludf.DUMMYFUNCTION("""COMPUTED_VALUE"""),28.0)</f>
        <v>28</v>
      </c>
      <c r="M250" s="1" t="str">
        <f>IFERROR(__xludf.DUMMYFUNCTION("""COMPUTED_VALUE"""),"24年63天")</f>
        <v>24年63天</v>
      </c>
      <c r="N250" s="1" t="str">
        <f>IFERROR(__xludf.DUMMYFUNCTION("""COMPUTED_VALUE"""),"继承")</f>
        <v>继承</v>
      </c>
      <c r="O250" s="1" t="str">
        <f>IFERROR(__xludf.DUMMYFUNCTION("""COMPUTED_VALUE"""),"辽圣宗长子")</f>
        <v>辽圣宗长子</v>
      </c>
    </row>
    <row r="251">
      <c r="A251" s="1" t="str">
        <f>IFERROR(__xludf.DUMMYFUNCTION("SPLIT(CSV!A:A,"","")"),"辽朝")</f>
        <v>辽朝</v>
      </c>
      <c r="B251" s="1">
        <f>IFERROR(__xludf.DUMMYFUNCTION("""COMPUTED_VALUE"""),8.0)</f>
        <v>8</v>
      </c>
      <c r="C251" s="1" t="str">
        <f>IFERROR(__xludf.DUMMYFUNCTION("""COMPUTED_VALUE"""),"道宗")</f>
        <v>道宗</v>
      </c>
      <c r="D251" s="1" t="str">
        <f>IFERROR(__xludf.DUMMYFUNCTION("""COMPUTED_VALUE"""),"仁圣大孝文皇帝")</f>
        <v>仁圣大孝文皇帝</v>
      </c>
      <c r="E251" s="1" t="str">
        <f>IFERROR(__xludf.DUMMYFUNCTION("""COMPUTED_VALUE"""),"辽道宗")</f>
        <v>辽道宗</v>
      </c>
      <c r="F251" s="1" t="str">
        <f>IFERROR(__xludf.DUMMYFUNCTION("""COMPUTED_VALUE"""),"耶律洪基")</f>
        <v>耶律洪基</v>
      </c>
      <c r="G251" s="1">
        <f>IFERROR(__xludf.DUMMYFUNCTION("""COMPUTED_VALUE"""),1055.0)</f>
        <v>1055</v>
      </c>
      <c r="H251" s="1">
        <f>IFERROR(__xludf.DUMMYFUNCTION("""COMPUTED_VALUE"""),8.0)</f>
        <v>8</v>
      </c>
      <c r="I251" s="1">
        <f>IFERROR(__xludf.DUMMYFUNCTION("""COMPUTED_VALUE"""),29.0)</f>
        <v>29</v>
      </c>
      <c r="J251" s="1">
        <f>IFERROR(__xludf.DUMMYFUNCTION("""COMPUTED_VALUE"""),1101.0)</f>
        <v>1101</v>
      </c>
      <c r="K251" s="1">
        <f>IFERROR(__xludf.DUMMYFUNCTION("""COMPUTED_VALUE"""),2.0)</f>
        <v>2</v>
      </c>
      <c r="L251" s="1">
        <f>IFERROR(__xludf.DUMMYFUNCTION("""COMPUTED_VALUE"""),12.0)</f>
        <v>12</v>
      </c>
      <c r="M251" s="1" t="str">
        <f>IFERROR(__xludf.DUMMYFUNCTION("""COMPUTED_VALUE"""),"45年168天")</f>
        <v>45年168天</v>
      </c>
      <c r="N251" s="1" t="str">
        <f>IFERROR(__xludf.DUMMYFUNCTION("""COMPUTED_VALUE"""),"继承")</f>
        <v>继承</v>
      </c>
      <c r="O251" s="1" t="str">
        <f>IFERROR(__xludf.DUMMYFUNCTION("""COMPUTED_VALUE"""),"辽兴宗长子")</f>
        <v>辽兴宗长子</v>
      </c>
    </row>
    <row r="252">
      <c r="A252" s="1" t="str">
        <f>IFERROR(__xludf.DUMMYFUNCTION("SPLIT(CSV!A:A,"","")"),"北宋")</f>
        <v>北宋</v>
      </c>
      <c r="B252" s="1">
        <f>IFERROR(__xludf.DUMMYFUNCTION("""COMPUTED_VALUE"""),5.0)</f>
        <v>5</v>
      </c>
      <c r="C252" s="1" t="str">
        <f>IFERROR(__xludf.DUMMYFUNCTION("""COMPUTED_VALUE"""),"英宗")</f>
        <v>英宗</v>
      </c>
      <c r="D252" s="1" t="str">
        <f>IFERROR(__xludf.DUMMYFUNCTION("""COMPUTED_VALUE"""),"体乾应历隆功盛德宪文肃武睿神宣孝皇帝")</f>
        <v>体乾应历隆功盛德宪文肃武睿神宣孝皇帝</v>
      </c>
      <c r="E252" s="1" t="str">
        <f>IFERROR(__xludf.DUMMYFUNCTION("""COMPUTED_VALUE"""),"宋英宗")</f>
        <v>宋英宗</v>
      </c>
      <c r="F252" s="1" t="str">
        <f>IFERROR(__xludf.DUMMYFUNCTION("""COMPUTED_VALUE"""),"赵曙")</f>
        <v>赵曙</v>
      </c>
      <c r="G252" s="1">
        <f>IFERROR(__xludf.DUMMYFUNCTION("""COMPUTED_VALUE"""),1063.0)</f>
        <v>1063</v>
      </c>
      <c r="H252" s="1">
        <f>IFERROR(__xludf.DUMMYFUNCTION("""COMPUTED_VALUE"""),5.0)</f>
        <v>5</v>
      </c>
      <c r="I252" s="1">
        <f>IFERROR(__xludf.DUMMYFUNCTION("""COMPUTED_VALUE"""),1.0)</f>
        <v>1</v>
      </c>
      <c r="J252" s="1">
        <f>IFERROR(__xludf.DUMMYFUNCTION("""COMPUTED_VALUE"""),1067.0)</f>
        <v>1067</v>
      </c>
      <c r="K252" s="1">
        <f>IFERROR(__xludf.DUMMYFUNCTION("""COMPUTED_VALUE"""),1.0)</f>
        <v>1</v>
      </c>
      <c r="L252" s="1">
        <f>IFERROR(__xludf.DUMMYFUNCTION("""COMPUTED_VALUE"""),8.0)</f>
        <v>8</v>
      </c>
      <c r="M252" s="1" t="str">
        <f>IFERROR(__xludf.DUMMYFUNCTION("""COMPUTED_VALUE"""),"3年252天")</f>
        <v>3年252天</v>
      </c>
      <c r="N252" s="1" t="str">
        <f>IFERROR(__xludf.DUMMYFUNCTION("""COMPUTED_VALUE"""),"继承")</f>
        <v>继承</v>
      </c>
      <c r="O252" s="1" t="str">
        <f>IFERROR(__xludf.DUMMYFUNCTION("""COMPUTED_VALUE"""),"宋太宗曾孙，濮安懿王赵允让第十三子")</f>
        <v>宋太宗曾孙，濮安懿王赵允让第十三子</v>
      </c>
    </row>
    <row r="253">
      <c r="A253" s="1" t="str">
        <f>IFERROR(__xludf.DUMMYFUNCTION("SPLIT(CSV!A:A,"","")"),"北宋")</f>
        <v>北宋</v>
      </c>
      <c r="B253" s="1">
        <f>IFERROR(__xludf.DUMMYFUNCTION("""COMPUTED_VALUE"""),6.0)</f>
        <v>6</v>
      </c>
      <c r="C253" s="1" t="str">
        <f>IFERROR(__xludf.DUMMYFUNCTION("""COMPUTED_VALUE"""),"神宗")</f>
        <v>神宗</v>
      </c>
      <c r="D253" s="1" t="str">
        <f>IFERROR(__xludf.DUMMYFUNCTION("""COMPUTED_VALUE"""),"绍天法古运德建功英文烈武钦仁圣孝皇帝")</f>
        <v>绍天法古运德建功英文烈武钦仁圣孝皇帝</v>
      </c>
      <c r="E253" s="1" t="str">
        <f>IFERROR(__xludf.DUMMYFUNCTION("""COMPUTED_VALUE"""),"宋神宗")</f>
        <v>宋神宗</v>
      </c>
      <c r="F253" s="1" t="str">
        <f>IFERROR(__xludf.DUMMYFUNCTION("""COMPUTED_VALUE"""),"赵顼")</f>
        <v>赵顼</v>
      </c>
      <c r="G253" s="1">
        <f>IFERROR(__xludf.DUMMYFUNCTION("""COMPUTED_VALUE"""),1067.0)</f>
        <v>1067</v>
      </c>
      <c r="H253" s="1">
        <f>IFERROR(__xludf.DUMMYFUNCTION("""COMPUTED_VALUE"""),1.0)</f>
        <v>1</v>
      </c>
      <c r="I253" s="1">
        <f>IFERROR(__xludf.DUMMYFUNCTION("""COMPUTED_VALUE"""),9.0)</f>
        <v>9</v>
      </c>
      <c r="J253" s="1">
        <f>IFERROR(__xludf.DUMMYFUNCTION("""COMPUTED_VALUE"""),1085.0)</f>
        <v>1085</v>
      </c>
      <c r="K253" s="1">
        <f>IFERROR(__xludf.DUMMYFUNCTION("""COMPUTED_VALUE"""),4.0)</f>
        <v>4</v>
      </c>
      <c r="L253" s="1">
        <f>IFERROR(__xludf.DUMMYFUNCTION("""COMPUTED_VALUE"""),1.0)</f>
        <v>1</v>
      </c>
      <c r="M253" s="1" t="str">
        <f>IFERROR(__xludf.DUMMYFUNCTION("""COMPUTED_VALUE"""),"18年82天")</f>
        <v>18年82天</v>
      </c>
      <c r="N253" s="1" t="str">
        <f>IFERROR(__xludf.DUMMYFUNCTION("""COMPUTED_VALUE"""),"继承")</f>
        <v>继承</v>
      </c>
      <c r="O253" s="1" t="str">
        <f>IFERROR(__xludf.DUMMYFUNCTION("""COMPUTED_VALUE"""),"宋英宗长子")</f>
        <v>宋英宗长子</v>
      </c>
    </row>
    <row r="254">
      <c r="A254" s="1" t="str">
        <f>IFERROR(__xludf.DUMMYFUNCTION("SPLIT(CSV!A:A,"","")"),"北宋")</f>
        <v>北宋</v>
      </c>
      <c r="B254" s="1">
        <f>IFERROR(__xludf.DUMMYFUNCTION("""COMPUTED_VALUE"""),7.0)</f>
        <v>7</v>
      </c>
      <c r="C254" s="1" t="str">
        <f>IFERROR(__xludf.DUMMYFUNCTION("""COMPUTED_VALUE"""),"哲宗")</f>
        <v>哲宗</v>
      </c>
      <c r="D254" s="1" t="str">
        <f>IFERROR(__xludf.DUMMYFUNCTION("""COMPUTED_VALUE"""),"宪元继道显德定功钦文睿武齐圣昭孝皇帝")</f>
        <v>宪元继道显德定功钦文睿武齐圣昭孝皇帝</v>
      </c>
      <c r="E254" s="1" t="str">
        <f>IFERROR(__xludf.DUMMYFUNCTION("""COMPUTED_VALUE"""),"宋哲宗")</f>
        <v>宋哲宗</v>
      </c>
      <c r="F254" s="1" t="str">
        <f>IFERROR(__xludf.DUMMYFUNCTION("""COMPUTED_VALUE"""),"赵煦")</f>
        <v>赵煦</v>
      </c>
      <c r="G254" s="1">
        <f>IFERROR(__xludf.DUMMYFUNCTION("""COMPUTED_VALUE"""),1085.0)</f>
        <v>1085</v>
      </c>
      <c r="H254" s="1">
        <f>IFERROR(__xludf.DUMMYFUNCTION("""COMPUTED_VALUE"""),4.0)</f>
        <v>4</v>
      </c>
      <c r="I254" s="1">
        <f>IFERROR(__xludf.DUMMYFUNCTION("""COMPUTED_VALUE"""),1.0)</f>
        <v>1</v>
      </c>
      <c r="J254" s="1">
        <f>IFERROR(__xludf.DUMMYFUNCTION("""COMPUTED_VALUE"""),1100.0)</f>
        <v>1100</v>
      </c>
      <c r="K254" s="1">
        <f>IFERROR(__xludf.DUMMYFUNCTION("""COMPUTED_VALUE"""),2.0)</f>
        <v>2</v>
      </c>
      <c r="L254" s="1">
        <f>IFERROR(__xludf.DUMMYFUNCTION("""COMPUTED_VALUE"""),23.0)</f>
        <v>23</v>
      </c>
      <c r="M254" s="1" t="str">
        <f>IFERROR(__xludf.DUMMYFUNCTION("""COMPUTED_VALUE"""),"14年328天")</f>
        <v>14年328天</v>
      </c>
      <c r="N254" s="1" t="str">
        <f>IFERROR(__xludf.DUMMYFUNCTION("""COMPUTED_VALUE"""),"继承")</f>
        <v>继承</v>
      </c>
      <c r="O254" s="1" t="str">
        <f>IFERROR(__xludf.DUMMYFUNCTION("""COMPUTED_VALUE"""),"宋神宗第六子")</f>
        <v>宋神宗第六子</v>
      </c>
    </row>
    <row r="255">
      <c r="A255" s="1" t="str">
        <f>IFERROR(__xludf.DUMMYFUNCTION("SPLIT(CSV!A:A,"","")"),"北宋")</f>
        <v>北宋</v>
      </c>
      <c r="B255" s="1">
        <f>IFERROR(__xludf.DUMMYFUNCTION("""COMPUTED_VALUE"""),8.0)</f>
        <v>8</v>
      </c>
      <c r="C255" s="1" t="str">
        <f>IFERROR(__xludf.DUMMYFUNCTION("""COMPUTED_VALUE"""),"徽宗")</f>
        <v>徽宗</v>
      </c>
      <c r="D255" s="1" t="str">
        <f>IFERROR(__xludf.DUMMYFUNCTION("""COMPUTED_VALUE"""),"体神合道骏烈逊功圣文仁德宪慈显孝皇帝")</f>
        <v>体神合道骏烈逊功圣文仁德宪慈显孝皇帝</v>
      </c>
      <c r="E255" s="1" t="str">
        <f>IFERROR(__xludf.DUMMYFUNCTION("""COMPUTED_VALUE"""),"宋徽宗")</f>
        <v>宋徽宗</v>
      </c>
      <c r="F255" s="1" t="str">
        <f>IFERROR(__xludf.DUMMYFUNCTION("""COMPUTED_VALUE"""),"赵佶")</f>
        <v>赵佶</v>
      </c>
      <c r="G255" s="1">
        <f>IFERROR(__xludf.DUMMYFUNCTION("""COMPUTED_VALUE"""),1100.0)</f>
        <v>1100</v>
      </c>
      <c r="H255" s="1">
        <f>IFERROR(__xludf.DUMMYFUNCTION("""COMPUTED_VALUE"""),2.0)</f>
        <v>2</v>
      </c>
      <c r="I255" s="1">
        <f>IFERROR(__xludf.DUMMYFUNCTION("""COMPUTED_VALUE"""),24.0)</f>
        <v>24</v>
      </c>
      <c r="J255" s="1">
        <f>IFERROR(__xludf.DUMMYFUNCTION("""COMPUTED_VALUE"""),1126.0)</f>
        <v>1126</v>
      </c>
      <c r="K255" s="1">
        <f>IFERROR(__xludf.DUMMYFUNCTION("""COMPUTED_VALUE"""),1.0)</f>
        <v>1</v>
      </c>
      <c r="L255" s="1">
        <f>IFERROR(__xludf.DUMMYFUNCTION("""COMPUTED_VALUE"""),18.0)</f>
        <v>18</v>
      </c>
      <c r="M255" s="1" t="str">
        <f>IFERROR(__xludf.DUMMYFUNCTION("""COMPUTED_VALUE"""),"25年329天")</f>
        <v>25年329天</v>
      </c>
      <c r="N255" s="1" t="str">
        <f>IFERROR(__xludf.DUMMYFUNCTION("""COMPUTED_VALUE"""),"继承")</f>
        <v>继承</v>
      </c>
      <c r="O255" s="1" t="str">
        <f>IFERROR(__xludf.DUMMYFUNCTION("""COMPUTED_VALUE"""),"宋神宗第十一子，宋哲宗之弟")</f>
        <v>宋神宗第十一子，宋哲宗之弟</v>
      </c>
    </row>
    <row r="256">
      <c r="A256" s="1" t="str">
        <f>IFERROR(__xludf.DUMMYFUNCTION("SPLIT(CSV!A:A,"","")"),"辽朝")</f>
        <v>辽朝</v>
      </c>
      <c r="B256" s="1">
        <f>IFERROR(__xludf.DUMMYFUNCTION("""COMPUTED_VALUE"""),9.0)</f>
        <v>9</v>
      </c>
      <c r="C256" s="1" t="str">
        <f>IFERROR(__xludf.DUMMYFUNCTION("""COMPUTED_VALUE"""),"-")</f>
        <v>-</v>
      </c>
      <c r="D256" s="1" t="str">
        <f>IFERROR(__xludf.DUMMYFUNCTION("""COMPUTED_VALUE"""),"天祚皇帝")</f>
        <v>天祚皇帝</v>
      </c>
      <c r="E256" s="1" t="str">
        <f>IFERROR(__xludf.DUMMYFUNCTION("""COMPUTED_VALUE"""),"辽天祚帝")</f>
        <v>辽天祚帝</v>
      </c>
      <c r="F256" s="1" t="str">
        <f>IFERROR(__xludf.DUMMYFUNCTION("""COMPUTED_VALUE"""),"耶律延禧")</f>
        <v>耶律延禧</v>
      </c>
      <c r="G256" s="1">
        <f>IFERROR(__xludf.DUMMYFUNCTION("""COMPUTED_VALUE"""),1101.0)</f>
        <v>1101</v>
      </c>
      <c r="H256" s="1">
        <f>IFERROR(__xludf.DUMMYFUNCTION("""COMPUTED_VALUE"""),2.0)</f>
        <v>2</v>
      </c>
      <c r="I256" s="1">
        <f>IFERROR(__xludf.DUMMYFUNCTION("""COMPUTED_VALUE"""),13.0)</f>
        <v>13</v>
      </c>
      <c r="J256" s="1">
        <f>IFERROR(__xludf.DUMMYFUNCTION("""COMPUTED_VALUE"""),1125.0)</f>
        <v>1125</v>
      </c>
      <c r="K256" s="1">
        <f>IFERROR(__xludf.DUMMYFUNCTION("""COMPUTED_VALUE"""),3.0)</f>
        <v>3</v>
      </c>
      <c r="L256" s="1">
        <f>IFERROR(__xludf.DUMMYFUNCTION("""COMPUTED_VALUE"""),26.0)</f>
        <v>26</v>
      </c>
      <c r="M256" s="1" t="str">
        <f>IFERROR(__xludf.DUMMYFUNCTION("""COMPUTED_VALUE"""),"24年41天")</f>
        <v>24年41天</v>
      </c>
      <c r="N256" s="1" t="str">
        <f>IFERROR(__xludf.DUMMYFUNCTION("""COMPUTED_VALUE"""),"继承")</f>
        <v>继承</v>
      </c>
      <c r="O256" s="1" t="str">
        <f>IFERROR(__xludf.DUMMYFUNCTION("""COMPUTED_VALUE"""),"辽道宗之孙")</f>
        <v>辽道宗之孙</v>
      </c>
    </row>
    <row r="257">
      <c r="A257" s="1" t="str">
        <f>IFERROR(__xludf.DUMMYFUNCTION("SPLIT(CSV!A:A,"","")"),"金朝")</f>
        <v>金朝</v>
      </c>
      <c r="B257" s="1">
        <f>IFERROR(__xludf.DUMMYFUNCTION("""COMPUTED_VALUE"""),1.0)</f>
        <v>1</v>
      </c>
      <c r="C257" s="1" t="str">
        <f>IFERROR(__xludf.DUMMYFUNCTION("""COMPUTED_VALUE"""),"太祖")</f>
        <v>太祖</v>
      </c>
      <c r="D257" s="1" t="str">
        <f>IFERROR(__xludf.DUMMYFUNCTION("""COMPUTED_VALUE"""),"应乾兴运昭德定功仁明庄孝大圣武元皇帝")</f>
        <v>应乾兴运昭德定功仁明庄孝大圣武元皇帝</v>
      </c>
      <c r="E257" s="1" t="str">
        <f>IFERROR(__xludf.DUMMYFUNCTION("""COMPUTED_VALUE"""),"金太祖")</f>
        <v>金太祖</v>
      </c>
      <c r="F257" s="1" t="str">
        <f>IFERROR(__xludf.DUMMYFUNCTION("""COMPUTED_VALUE"""),"完颜阿骨打")</f>
        <v>完颜阿骨打</v>
      </c>
      <c r="G257" s="1">
        <f>IFERROR(__xludf.DUMMYFUNCTION("""COMPUTED_VALUE"""),1115.0)</f>
        <v>1115</v>
      </c>
      <c r="H257" s="1">
        <f>IFERROR(__xludf.DUMMYFUNCTION("""COMPUTED_VALUE"""),1.0)</f>
        <v>1</v>
      </c>
      <c r="I257" s="1">
        <f>IFERROR(__xludf.DUMMYFUNCTION("""COMPUTED_VALUE"""),28.0)</f>
        <v>28</v>
      </c>
      <c r="J257" s="1">
        <f>IFERROR(__xludf.DUMMYFUNCTION("""COMPUTED_VALUE"""),1123.0)</f>
        <v>1123</v>
      </c>
      <c r="K257" s="1">
        <f>IFERROR(__xludf.DUMMYFUNCTION("""COMPUTED_VALUE"""),9.0)</f>
        <v>9</v>
      </c>
      <c r="L257" s="1">
        <f>IFERROR(__xludf.DUMMYFUNCTION("""COMPUTED_VALUE"""),19.0)</f>
        <v>19</v>
      </c>
      <c r="M257" s="1" t="str">
        <f>IFERROR(__xludf.DUMMYFUNCTION("""COMPUTED_VALUE"""),"8年234天")</f>
        <v>8年234天</v>
      </c>
      <c r="N257" s="1" t="str">
        <f>IFERROR(__xludf.DUMMYFUNCTION("""COMPUTED_VALUE"""),"自立")</f>
        <v>自立</v>
      </c>
      <c r="O257" s="1" t="str">
        <f>IFERROR(__xludf.DUMMYFUNCTION("""COMPUTED_VALUE"""),"统一女真各部，建金灭辽")</f>
        <v>统一女真各部，建金灭辽</v>
      </c>
    </row>
    <row r="258">
      <c r="A258" s="1" t="str">
        <f>IFERROR(__xludf.DUMMYFUNCTION("SPLIT(CSV!A:A,"","")"),"金朝")</f>
        <v>金朝</v>
      </c>
      <c r="B258" s="1">
        <f>IFERROR(__xludf.DUMMYFUNCTION("""COMPUTED_VALUE"""),2.0)</f>
        <v>2</v>
      </c>
      <c r="C258" s="1" t="str">
        <f>IFERROR(__xludf.DUMMYFUNCTION("""COMPUTED_VALUE"""),"太宗")</f>
        <v>太宗</v>
      </c>
      <c r="D258" s="1" t="str">
        <f>IFERROR(__xludf.DUMMYFUNCTION("""COMPUTED_VALUE"""),"体元应运世德昭功哲惠仁圣文烈皇帝")</f>
        <v>体元应运世德昭功哲惠仁圣文烈皇帝</v>
      </c>
      <c r="E258" s="1" t="str">
        <f>IFERROR(__xludf.DUMMYFUNCTION("""COMPUTED_VALUE"""),"金太宗")</f>
        <v>金太宗</v>
      </c>
      <c r="F258" s="1" t="str">
        <f>IFERROR(__xludf.DUMMYFUNCTION("""COMPUTED_VALUE"""),"完颜吴乞买")</f>
        <v>完颜吴乞买</v>
      </c>
      <c r="G258" s="1">
        <f>IFERROR(__xludf.DUMMYFUNCTION("""COMPUTED_VALUE"""),1123.0)</f>
        <v>1123</v>
      </c>
      <c r="H258" s="1">
        <f>IFERROR(__xludf.DUMMYFUNCTION("""COMPUTED_VALUE"""),9.0)</f>
        <v>9</v>
      </c>
      <c r="I258" s="1">
        <f>IFERROR(__xludf.DUMMYFUNCTION("""COMPUTED_VALUE"""),20.0)</f>
        <v>20</v>
      </c>
      <c r="J258" s="1">
        <f>IFERROR(__xludf.DUMMYFUNCTION("""COMPUTED_VALUE"""),1135.0)</f>
        <v>1135</v>
      </c>
      <c r="K258" s="1">
        <f>IFERROR(__xludf.DUMMYFUNCTION("""COMPUTED_VALUE"""),2.0)</f>
        <v>2</v>
      </c>
      <c r="L258" s="1">
        <f>IFERROR(__xludf.DUMMYFUNCTION("""COMPUTED_VALUE"""),9.0)</f>
        <v>9</v>
      </c>
      <c r="M258" s="1" t="str">
        <f>IFERROR(__xludf.DUMMYFUNCTION("""COMPUTED_VALUE"""),"11年142天")</f>
        <v>11年142天</v>
      </c>
      <c r="N258" s="1" t="str">
        <f>IFERROR(__xludf.DUMMYFUNCTION("""COMPUTED_VALUE"""),"继承")</f>
        <v>继承</v>
      </c>
      <c r="O258" s="1" t="str">
        <f>IFERROR(__xludf.DUMMYFUNCTION("""COMPUTED_VALUE"""),"金太祖之弟")</f>
        <v>金太祖之弟</v>
      </c>
    </row>
    <row r="259">
      <c r="A259" s="1" t="str">
        <f>IFERROR(__xludf.DUMMYFUNCTION("SPLIT(CSV!A:A,"","")"),"北宋")</f>
        <v>北宋</v>
      </c>
      <c r="B259" s="1">
        <f>IFERROR(__xludf.DUMMYFUNCTION("""COMPUTED_VALUE"""),9.0)</f>
        <v>9</v>
      </c>
      <c r="C259" s="1" t="str">
        <f>IFERROR(__xludf.DUMMYFUNCTION("""COMPUTED_VALUE"""),"钦宗")</f>
        <v>钦宗</v>
      </c>
      <c r="D259" s="1" t="str">
        <f>IFERROR(__xludf.DUMMYFUNCTION("""COMPUTED_VALUE"""),"恭文顺德仁孝皇帝")</f>
        <v>恭文顺德仁孝皇帝</v>
      </c>
      <c r="E259" s="1" t="str">
        <f>IFERROR(__xludf.DUMMYFUNCTION("""COMPUTED_VALUE"""),"宋钦宗")</f>
        <v>宋钦宗</v>
      </c>
      <c r="F259" s="1" t="str">
        <f>IFERROR(__xludf.DUMMYFUNCTION("""COMPUTED_VALUE"""),"赵桓")</f>
        <v>赵桓</v>
      </c>
      <c r="G259" s="1">
        <f>IFERROR(__xludf.DUMMYFUNCTION("""COMPUTED_VALUE"""),1126.0)</f>
        <v>1126</v>
      </c>
      <c r="H259" s="1">
        <f>IFERROR(__xludf.DUMMYFUNCTION("""COMPUTED_VALUE"""),1.0)</f>
        <v>1</v>
      </c>
      <c r="I259" s="1">
        <f>IFERROR(__xludf.DUMMYFUNCTION("""COMPUTED_VALUE"""),19.0)</f>
        <v>19</v>
      </c>
      <c r="J259" s="1">
        <f>IFERROR(__xludf.DUMMYFUNCTION("""COMPUTED_VALUE"""),1127.0)</f>
        <v>1127</v>
      </c>
      <c r="K259" s="1">
        <f>IFERROR(__xludf.DUMMYFUNCTION("""COMPUTED_VALUE"""),3.0)</f>
        <v>3</v>
      </c>
      <c r="L259" s="1">
        <f>IFERROR(__xludf.DUMMYFUNCTION("""COMPUTED_VALUE"""),20.0)</f>
        <v>20</v>
      </c>
      <c r="M259" s="1" t="str">
        <f>IFERROR(__xludf.DUMMYFUNCTION("""COMPUTED_VALUE"""),"1年60天")</f>
        <v>1年60天</v>
      </c>
      <c r="N259" s="1" t="str">
        <f>IFERROR(__xludf.DUMMYFUNCTION("""COMPUTED_VALUE"""),"继承")</f>
        <v>继承</v>
      </c>
      <c r="O259" s="1" t="str">
        <f>IFERROR(__xludf.DUMMYFUNCTION("""COMPUTED_VALUE"""),"宋徽宗长子")</f>
        <v>宋徽宗长子</v>
      </c>
    </row>
    <row r="260">
      <c r="A260" s="1" t="str">
        <f>IFERROR(__xludf.DUMMYFUNCTION("SPLIT(CSV!A:A,"","")"),"南宋")</f>
        <v>南宋</v>
      </c>
      <c r="B260" s="1">
        <f>IFERROR(__xludf.DUMMYFUNCTION("""COMPUTED_VALUE"""),1.0)</f>
        <v>1</v>
      </c>
      <c r="C260" s="1" t="str">
        <f>IFERROR(__xludf.DUMMYFUNCTION("""COMPUTED_VALUE"""),"高宗")</f>
        <v>高宗</v>
      </c>
      <c r="D260" s="1" t="str">
        <f>IFERROR(__xludf.DUMMYFUNCTION("""COMPUTED_VALUE"""),"受命中兴全功至德圣神武文昭仁宪孝皇帝")</f>
        <v>受命中兴全功至德圣神武文昭仁宪孝皇帝</v>
      </c>
      <c r="E260" s="1" t="str">
        <f>IFERROR(__xludf.DUMMYFUNCTION("""COMPUTED_VALUE"""),"宋高宗")</f>
        <v>宋高宗</v>
      </c>
      <c r="F260" s="1" t="str">
        <f>IFERROR(__xludf.DUMMYFUNCTION("""COMPUTED_VALUE"""),"赵构")</f>
        <v>赵构</v>
      </c>
      <c r="G260" s="1">
        <f>IFERROR(__xludf.DUMMYFUNCTION("""COMPUTED_VALUE"""),1127.0)</f>
        <v>1127</v>
      </c>
      <c r="H260" s="1">
        <f>IFERROR(__xludf.DUMMYFUNCTION("""COMPUTED_VALUE"""),6.0)</f>
        <v>6</v>
      </c>
      <c r="I260" s="1">
        <f>IFERROR(__xludf.DUMMYFUNCTION("""COMPUTED_VALUE"""),12.0)</f>
        <v>12</v>
      </c>
      <c r="J260" s="1">
        <f>IFERROR(__xludf.DUMMYFUNCTION("""COMPUTED_VALUE"""),1162.0)</f>
        <v>1162</v>
      </c>
      <c r="K260" s="1">
        <f>IFERROR(__xludf.DUMMYFUNCTION("""COMPUTED_VALUE"""),7.0)</f>
        <v>7</v>
      </c>
      <c r="L260" s="1">
        <f>IFERROR(__xludf.DUMMYFUNCTION("""COMPUTED_VALUE"""),24.0)</f>
        <v>24</v>
      </c>
      <c r="M260" s="1" t="str">
        <f>IFERROR(__xludf.DUMMYFUNCTION("""COMPUTED_VALUE"""),"35年42天")</f>
        <v>35年42天</v>
      </c>
      <c r="N260" s="1" t="str">
        <f>IFERROR(__xludf.DUMMYFUNCTION("""COMPUTED_VALUE"""),"自立")</f>
        <v>自立</v>
      </c>
      <c r="O260" s="1" t="str">
        <f>IFERROR(__xludf.DUMMYFUNCTION("""COMPUTED_VALUE"""),"宋徽宗第九子，北宋灭亡后于应天府即位")</f>
        <v>宋徽宗第九子，北宋灭亡后于应天府即位</v>
      </c>
    </row>
    <row r="261">
      <c r="A261" s="1" t="str">
        <f>IFERROR(__xludf.DUMMYFUNCTION("SPLIT(CSV!A:A,"","")"),"金朝")</f>
        <v>金朝</v>
      </c>
      <c r="B261" s="1">
        <f>IFERROR(__xludf.DUMMYFUNCTION("""COMPUTED_VALUE"""),3.0)</f>
        <v>3</v>
      </c>
      <c r="C261" s="1" t="str">
        <f>IFERROR(__xludf.DUMMYFUNCTION("""COMPUTED_VALUE"""),"熙宗")</f>
        <v>熙宗</v>
      </c>
      <c r="D261" s="1" t="str">
        <f>IFERROR(__xludf.DUMMYFUNCTION("""COMPUTED_VALUE"""),"弘基缵武庄靖孝成皇帝")</f>
        <v>弘基缵武庄靖孝成皇帝</v>
      </c>
      <c r="E261" s="1" t="str">
        <f>IFERROR(__xludf.DUMMYFUNCTION("""COMPUTED_VALUE"""),"金熙宗")</f>
        <v>金熙宗</v>
      </c>
      <c r="F261" s="1" t="str">
        <f>IFERROR(__xludf.DUMMYFUNCTION("""COMPUTED_VALUE"""),"完颜亶")</f>
        <v>完颜亶</v>
      </c>
      <c r="G261" s="1">
        <f>IFERROR(__xludf.DUMMYFUNCTION("""COMPUTED_VALUE"""),1135.0)</f>
        <v>1135</v>
      </c>
      <c r="H261" s="1">
        <f>IFERROR(__xludf.DUMMYFUNCTION("""COMPUTED_VALUE"""),2.0)</f>
        <v>2</v>
      </c>
      <c r="I261" s="1">
        <f>IFERROR(__xludf.DUMMYFUNCTION("""COMPUTED_VALUE"""),10.0)</f>
        <v>10</v>
      </c>
      <c r="J261" s="1">
        <f>IFERROR(__xludf.DUMMYFUNCTION("""COMPUTED_VALUE"""),1150.0)</f>
        <v>1150</v>
      </c>
      <c r="K261" s="1">
        <f>IFERROR(__xludf.DUMMYFUNCTION("""COMPUTED_VALUE"""),1.0)</f>
        <v>1</v>
      </c>
      <c r="L261" s="1">
        <f>IFERROR(__xludf.DUMMYFUNCTION("""COMPUTED_VALUE"""),9.0)</f>
        <v>9</v>
      </c>
      <c r="M261" s="1" t="str">
        <f>IFERROR(__xludf.DUMMYFUNCTION("""COMPUTED_VALUE"""),"14年334天")</f>
        <v>14年334天</v>
      </c>
      <c r="N261" s="1" t="str">
        <f>IFERROR(__xludf.DUMMYFUNCTION("""COMPUTED_VALUE"""),"继承")</f>
        <v>继承</v>
      </c>
      <c r="O261" s="1" t="str">
        <f>IFERROR(__xludf.DUMMYFUNCTION("""COMPUTED_VALUE"""),"金太祖嫡孙")</f>
        <v>金太祖嫡孙</v>
      </c>
    </row>
    <row r="262">
      <c r="A262" s="1" t="str">
        <f>IFERROR(__xludf.DUMMYFUNCTION("SPLIT(CSV!A:A,"","")"),"金朝")</f>
        <v>金朝</v>
      </c>
      <c r="B262" s="1">
        <f>IFERROR(__xludf.DUMMYFUNCTION("""COMPUTED_VALUE"""),4.0)</f>
        <v>4</v>
      </c>
      <c r="C262" s="1" t="str">
        <f>IFERROR(__xludf.DUMMYFUNCTION("""COMPUTED_VALUE"""),"-")</f>
        <v>-</v>
      </c>
      <c r="D262" s="1" t="str">
        <f>IFERROR(__xludf.DUMMYFUNCTION("""COMPUTED_VALUE"""),"海陵王/炀皇帝")</f>
        <v>海陵王/炀皇帝</v>
      </c>
      <c r="E262" s="1" t="str">
        <f>IFERROR(__xludf.DUMMYFUNCTION("""COMPUTED_VALUE"""),"金海陵王")</f>
        <v>金海陵王</v>
      </c>
      <c r="F262" s="1" t="str">
        <f>IFERROR(__xludf.DUMMYFUNCTION("""COMPUTED_VALUE"""),"完颜亮")</f>
        <v>完颜亮</v>
      </c>
      <c r="G262" s="1">
        <f>IFERROR(__xludf.DUMMYFUNCTION("""COMPUTED_VALUE"""),1150.0)</f>
        <v>1150</v>
      </c>
      <c r="H262" s="1">
        <f>IFERROR(__xludf.DUMMYFUNCTION("""COMPUTED_VALUE"""),1.0)</f>
        <v>1</v>
      </c>
      <c r="I262" s="1">
        <f>IFERROR(__xludf.DUMMYFUNCTION("""COMPUTED_VALUE"""),10.0)</f>
        <v>10</v>
      </c>
      <c r="J262" s="1">
        <f>IFERROR(__xludf.DUMMYFUNCTION("""COMPUTED_VALUE"""),1161.0)</f>
        <v>1161</v>
      </c>
      <c r="K262" s="1">
        <f>IFERROR(__xludf.DUMMYFUNCTION("""COMPUTED_VALUE"""),12.0)</f>
        <v>12</v>
      </c>
      <c r="L262" s="1">
        <f>IFERROR(__xludf.DUMMYFUNCTION("""COMPUTED_VALUE"""),15.0)</f>
        <v>15</v>
      </c>
      <c r="M262" s="1" t="str">
        <f>IFERROR(__xludf.DUMMYFUNCTION("""COMPUTED_VALUE"""),"11年339天")</f>
        <v>11年339天</v>
      </c>
      <c r="N262" s="1" t="str">
        <f>IFERROR(__xludf.DUMMYFUNCTION("""COMPUTED_VALUE"""),"政变")</f>
        <v>政变</v>
      </c>
      <c r="O262" s="1" t="str">
        <f>IFERROR(__xludf.DUMMYFUNCTION("""COMPUTED_VALUE"""),"弑君篡位，南征失败被杀")</f>
        <v>弑君篡位，南征失败被杀</v>
      </c>
    </row>
    <row r="263">
      <c r="A263" s="1" t="str">
        <f>IFERROR(__xludf.DUMMYFUNCTION("SPLIT(CSV!A:A,"","")"),"金朝")</f>
        <v>金朝</v>
      </c>
      <c r="B263" s="1">
        <f>IFERROR(__xludf.DUMMYFUNCTION("""COMPUTED_VALUE"""),5.0)</f>
        <v>5</v>
      </c>
      <c r="C263" s="1" t="str">
        <f>IFERROR(__xludf.DUMMYFUNCTION("""COMPUTED_VALUE"""),"世宗")</f>
        <v>世宗</v>
      </c>
      <c r="D263" s="1" t="str">
        <f>IFERROR(__xludf.DUMMYFUNCTION("""COMPUTED_VALUE"""),"光天兴运文德武功圣明仁孝皇帝")</f>
        <v>光天兴运文德武功圣明仁孝皇帝</v>
      </c>
      <c r="E263" s="1" t="str">
        <f>IFERROR(__xludf.DUMMYFUNCTION("""COMPUTED_VALUE"""),"金世宗")</f>
        <v>金世宗</v>
      </c>
      <c r="F263" s="1" t="str">
        <f>IFERROR(__xludf.DUMMYFUNCTION("""COMPUTED_VALUE"""),"完颜雍")</f>
        <v>完颜雍</v>
      </c>
      <c r="G263" s="1">
        <f>IFERROR(__xludf.DUMMYFUNCTION("""COMPUTED_VALUE"""),1161.0)</f>
        <v>1161</v>
      </c>
      <c r="H263" s="1">
        <f>IFERROR(__xludf.DUMMYFUNCTION("""COMPUTED_VALUE"""),12.0)</f>
        <v>12</v>
      </c>
      <c r="I263" s="1">
        <f>IFERROR(__xludf.DUMMYFUNCTION("""COMPUTED_VALUE"""),16.0)</f>
        <v>16</v>
      </c>
      <c r="J263" s="1">
        <f>IFERROR(__xludf.DUMMYFUNCTION("""COMPUTED_VALUE"""),1189.0)</f>
        <v>1189</v>
      </c>
      <c r="K263" s="1">
        <f>IFERROR(__xludf.DUMMYFUNCTION("""COMPUTED_VALUE"""),1.0)</f>
        <v>1</v>
      </c>
      <c r="L263" s="1">
        <f>IFERROR(__xludf.DUMMYFUNCTION("""COMPUTED_VALUE"""),20.0)</f>
        <v>20</v>
      </c>
      <c r="M263" s="1" t="str">
        <f>IFERROR(__xludf.DUMMYFUNCTION("""COMPUTED_VALUE"""),"27年35天")</f>
        <v>27年35天</v>
      </c>
      <c r="N263" s="1" t="str">
        <f>IFERROR(__xludf.DUMMYFUNCTION("""COMPUTED_VALUE"""),"自立")</f>
        <v>自立</v>
      </c>
      <c r="O263" s="1" t="str">
        <f>IFERROR(__xludf.DUMMYFUNCTION("""COMPUTED_VALUE"""),"金太祖之孙，东京辽阳府即位")</f>
        <v>金太祖之孙，东京辽阳府即位</v>
      </c>
    </row>
    <row r="264">
      <c r="A264" s="1" t="str">
        <f>IFERROR(__xludf.DUMMYFUNCTION("SPLIT(CSV!A:A,"","")"),"南宋")</f>
        <v>南宋</v>
      </c>
      <c r="B264" s="1">
        <f>IFERROR(__xludf.DUMMYFUNCTION("""COMPUTED_VALUE"""),2.0)</f>
        <v>2</v>
      </c>
      <c r="C264" s="1" t="str">
        <f>IFERROR(__xludf.DUMMYFUNCTION("""COMPUTED_VALUE"""),"孝宗")</f>
        <v>孝宗</v>
      </c>
      <c r="D264" s="1" t="str">
        <f>IFERROR(__xludf.DUMMYFUNCTION("""COMPUTED_VALUE"""),"绍统同道冠德昭功哲文神武明圣成孝皇帝")</f>
        <v>绍统同道冠德昭功哲文神武明圣成孝皇帝</v>
      </c>
      <c r="E264" s="1" t="str">
        <f>IFERROR(__xludf.DUMMYFUNCTION("""COMPUTED_VALUE"""),"宋孝宗")</f>
        <v>宋孝宗</v>
      </c>
      <c r="F264" s="1" t="str">
        <f>IFERROR(__xludf.DUMMYFUNCTION("""COMPUTED_VALUE"""),"赵昚")</f>
        <v>赵昚</v>
      </c>
      <c r="G264" s="1">
        <f>IFERROR(__xludf.DUMMYFUNCTION("""COMPUTED_VALUE"""),1162.0)</f>
        <v>1162</v>
      </c>
      <c r="H264" s="1">
        <f>IFERROR(__xludf.DUMMYFUNCTION("""COMPUTED_VALUE"""),7.0)</f>
        <v>7</v>
      </c>
      <c r="I264" s="1">
        <f>IFERROR(__xludf.DUMMYFUNCTION("""COMPUTED_VALUE"""),24.0)</f>
        <v>24</v>
      </c>
      <c r="J264" s="1">
        <f>IFERROR(__xludf.DUMMYFUNCTION("""COMPUTED_VALUE"""),1189.0)</f>
        <v>1189</v>
      </c>
      <c r="K264" s="1">
        <f>IFERROR(__xludf.DUMMYFUNCTION("""COMPUTED_VALUE"""),2.0)</f>
        <v>2</v>
      </c>
      <c r="L264" s="1">
        <f>IFERROR(__xludf.DUMMYFUNCTION("""COMPUTED_VALUE"""),18.0)</f>
        <v>18</v>
      </c>
      <c r="M264" s="1" t="str">
        <f>IFERROR(__xludf.DUMMYFUNCTION("""COMPUTED_VALUE"""),"26年209天")</f>
        <v>26年209天</v>
      </c>
      <c r="N264" s="1" t="str">
        <f>IFERROR(__xludf.DUMMYFUNCTION("""COMPUTED_VALUE"""),"受禅")</f>
        <v>受禅</v>
      </c>
      <c r="O264" s="1" t="str">
        <f>IFERROR(__xludf.DUMMYFUNCTION("""COMPUTED_VALUE"""),"宋太祖七世孙，宋高宗养子，受内禅")</f>
        <v>宋太祖七世孙，宋高宗养子，受内禅</v>
      </c>
    </row>
    <row r="265">
      <c r="A265" s="1" t="str">
        <f>IFERROR(__xludf.DUMMYFUNCTION("SPLIT(CSV!A:A,"","")"),"金朝")</f>
        <v>金朝</v>
      </c>
      <c r="B265" s="1">
        <f>IFERROR(__xludf.DUMMYFUNCTION("""COMPUTED_VALUE"""),6.0)</f>
        <v>6</v>
      </c>
      <c r="C265" s="1" t="str">
        <f>IFERROR(__xludf.DUMMYFUNCTION("""COMPUTED_VALUE"""),"章宗")</f>
        <v>章宗</v>
      </c>
      <c r="D265" s="1" t="str">
        <f>IFERROR(__xludf.DUMMYFUNCTION("""COMPUTED_VALUE"""),"宪天光运仁文义武神圣英孝皇帝")</f>
        <v>宪天光运仁文义武神圣英孝皇帝</v>
      </c>
      <c r="E265" s="1" t="str">
        <f>IFERROR(__xludf.DUMMYFUNCTION("""COMPUTED_VALUE"""),"金章宗")</f>
        <v>金章宗</v>
      </c>
      <c r="F265" s="1" t="str">
        <f>IFERROR(__xludf.DUMMYFUNCTION("""COMPUTED_VALUE"""),"完颜璟")</f>
        <v>完颜璟</v>
      </c>
      <c r="G265" s="1">
        <f>IFERROR(__xludf.DUMMYFUNCTION("""COMPUTED_VALUE"""),1189.0)</f>
        <v>1189</v>
      </c>
      <c r="H265" s="1">
        <f>IFERROR(__xludf.DUMMYFUNCTION("""COMPUTED_VALUE"""),1.0)</f>
        <v>1</v>
      </c>
      <c r="I265" s="1">
        <f>IFERROR(__xludf.DUMMYFUNCTION("""COMPUTED_VALUE"""),21.0)</f>
        <v>21</v>
      </c>
      <c r="J265" s="1">
        <f>IFERROR(__xludf.DUMMYFUNCTION("""COMPUTED_VALUE"""),1208.0)</f>
        <v>1208</v>
      </c>
      <c r="K265" s="1">
        <f>IFERROR(__xludf.DUMMYFUNCTION("""COMPUTED_VALUE"""),12.0)</f>
        <v>12</v>
      </c>
      <c r="L265" s="1">
        <f>IFERROR(__xludf.DUMMYFUNCTION("""COMPUTED_VALUE"""),29.0)</f>
        <v>29</v>
      </c>
      <c r="M265" s="1" t="str">
        <f>IFERROR(__xludf.DUMMYFUNCTION("""COMPUTED_VALUE"""),"19年342天")</f>
        <v>19年342天</v>
      </c>
      <c r="N265" s="1" t="str">
        <f>IFERROR(__xludf.DUMMYFUNCTION("""COMPUTED_VALUE"""),"继承")</f>
        <v>继承</v>
      </c>
      <c r="O265" s="1" t="str">
        <f>IFERROR(__xludf.DUMMYFUNCTION("""COMPUTED_VALUE"""),"金世宗嫡孙")</f>
        <v>金世宗嫡孙</v>
      </c>
    </row>
    <row r="266">
      <c r="A266" s="1" t="str">
        <f>IFERROR(__xludf.DUMMYFUNCTION("SPLIT(CSV!A:A,"","")"),"南宋")</f>
        <v>南宋</v>
      </c>
      <c r="B266" s="1">
        <f>IFERROR(__xludf.DUMMYFUNCTION("""COMPUTED_VALUE"""),3.0)</f>
        <v>3</v>
      </c>
      <c r="C266" s="1" t="str">
        <f>IFERROR(__xludf.DUMMYFUNCTION("""COMPUTED_VALUE"""),"光宗")</f>
        <v>光宗</v>
      </c>
      <c r="D266" s="1" t="str">
        <f>IFERROR(__xludf.DUMMYFUNCTION("""COMPUTED_VALUE"""),"循道宪仁明功茂德温文顺武圣哲慈孝皇帝")</f>
        <v>循道宪仁明功茂德温文顺武圣哲慈孝皇帝</v>
      </c>
      <c r="E266" s="1" t="str">
        <f>IFERROR(__xludf.DUMMYFUNCTION("""COMPUTED_VALUE"""),"宋光宗")</f>
        <v>宋光宗</v>
      </c>
      <c r="F266" s="1" t="str">
        <f>IFERROR(__xludf.DUMMYFUNCTION("""COMPUTED_VALUE"""),"赵惇")</f>
        <v>赵惇</v>
      </c>
      <c r="G266" s="1">
        <f>IFERROR(__xludf.DUMMYFUNCTION("""COMPUTED_VALUE"""),1189.0)</f>
        <v>1189</v>
      </c>
      <c r="H266" s="1">
        <f>IFERROR(__xludf.DUMMYFUNCTION("""COMPUTED_VALUE"""),2.0)</f>
        <v>2</v>
      </c>
      <c r="I266" s="1">
        <f>IFERROR(__xludf.DUMMYFUNCTION("""COMPUTED_VALUE"""),18.0)</f>
        <v>18</v>
      </c>
      <c r="J266" s="1">
        <f>IFERROR(__xludf.DUMMYFUNCTION("""COMPUTED_VALUE"""),1194.0)</f>
        <v>1194</v>
      </c>
      <c r="K266" s="1">
        <f>IFERROR(__xludf.DUMMYFUNCTION("""COMPUTED_VALUE"""),7.0)</f>
        <v>7</v>
      </c>
      <c r="L266" s="1">
        <f>IFERROR(__xludf.DUMMYFUNCTION("""COMPUTED_VALUE"""),24.0)</f>
        <v>24</v>
      </c>
      <c r="M266" s="1" t="str">
        <f>IFERROR(__xludf.DUMMYFUNCTION("""COMPUTED_VALUE"""),"5年156天")</f>
        <v>5年156天</v>
      </c>
      <c r="N266" s="1" t="str">
        <f>IFERROR(__xludf.DUMMYFUNCTION("""COMPUTED_VALUE"""),"受禅")</f>
        <v>受禅</v>
      </c>
      <c r="O266" s="1" t="str">
        <f>IFERROR(__xludf.DUMMYFUNCTION("""COMPUTED_VALUE"""),"宋孝宗第三子，受内禅")</f>
        <v>宋孝宗第三子，受内禅</v>
      </c>
    </row>
    <row r="267">
      <c r="A267" s="1" t="str">
        <f>IFERROR(__xludf.DUMMYFUNCTION("SPLIT(CSV!A:A,"","")"),"南宋")</f>
        <v>南宋</v>
      </c>
      <c r="B267" s="1">
        <f>IFERROR(__xludf.DUMMYFUNCTION("""COMPUTED_VALUE"""),4.0)</f>
        <v>4</v>
      </c>
      <c r="C267" s="1" t="str">
        <f>IFERROR(__xludf.DUMMYFUNCTION("""COMPUTED_VALUE"""),"宁宗")</f>
        <v>宁宗</v>
      </c>
      <c r="D267" s="1" t="str">
        <f>IFERROR(__xludf.DUMMYFUNCTION("""COMPUTED_VALUE"""),"法天备道纯德茂功仁文哲武圣睿恭孝皇帝")</f>
        <v>法天备道纯德茂功仁文哲武圣睿恭孝皇帝</v>
      </c>
      <c r="E267" s="1" t="str">
        <f>IFERROR(__xludf.DUMMYFUNCTION("""COMPUTED_VALUE"""),"宋宁宗")</f>
        <v>宋宁宗</v>
      </c>
      <c r="F267" s="1" t="str">
        <f>IFERROR(__xludf.DUMMYFUNCTION("""COMPUTED_VALUE"""),"赵扩")</f>
        <v>赵扩</v>
      </c>
      <c r="G267" s="1">
        <f>IFERROR(__xludf.DUMMYFUNCTION("""COMPUTED_VALUE"""),1194.0)</f>
        <v>1194</v>
      </c>
      <c r="H267" s="1">
        <f>IFERROR(__xludf.DUMMYFUNCTION("""COMPUTED_VALUE"""),7.0)</f>
        <v>7</v>
      </c>
      <c r="I267" s="1">
        <f>IFERROR(__xludf.DUMMYFUNCTION("""COMPUTED_VALUE"""),24.0)</f>
        <v>24</v>
      </c>
      <c r="J267" s="1">
        <f>IFERROR(__xludf.DUMMYFUNCTION("""COMPUTED_VALUE"""),1224.0)</f>
        <v>1224</v>
      </c>
      <c r="K267" s="1">
        <f>IFERROR(__xludf.DUMMYFUNCTION("""COMPUTED_VALUE"""),9.0)</f>
        <v>9</v>
      </c>
      <c r="L267" s="1">
        <f>IFERROR(__xludf.DUMMYFUNCTION("""COMPUTED_VALUE"""),18.0)</f>
        <v>18</v>
      </c>
      <c r="M267" s="1" t="str">
        <f>IFERROR(__xludf.DUMMYFUNCTION("""COMPUTED_VALUE"""),"30年56天")</f>
        <v>30年56天</v>
      </c>
      <c r="N267" s="1" t="str">
        <f>IFERROR(__xludf.DUMMYFUNCTION("""COMPUTED_VALUE"""),"受禅")</f>
        <v>受禅</v>
      </c>
      <c r="O267" s="1" t="str">
        <f>IFERROR(__xludf.DUMMYFUNCTION("""COMPUTED_VALUE"""),"宋光宗第二子，受内禅")</f>
        <v>宋光宗第二子，受内禅</v>
      </c>
    </row>
    <row r="268">
      <c r="A268" s="1" t="str">
        <f>IFERROR(__xludf.DUMMYFUNCTION("SPLIT(CSV!A:A,"","")"),"金朝")</f>
        <v>金朝</v>
      </c>
      <c r="B268" s="1">
        <f>IFERROR(__xludf.DUMMYFUNCTION("""COMPUTED_VALUE"""),7.0)</f>
        <v>7</v>
      </c>
      <c r="C268" s="1" t="str">
        <f>IFERROR(__xludf.DUMMYFUNCTION("""COMPUTED_VALUE"""),"-")</f>
        <v>-</v>
      </c>
      <c r="D268" s="1" t="str">
        <f>IFERROR(__xludf.DUMMYFUNCTION("""COMPUTED_VALUE"""),"卫绍王")</f>
        <v>卫绍王</v>
      </c>
      <c r="E268" s="1" t="str">
        <f>IFERROR(__xludf.DUMMYFUNCTION("""COMPUTED_VALUE"""),"金卫绍王")</f>
        <v>金卫绍王</v>
      </c>
      <c r="F268" s="1" t="str">
        <f>IFERROR(__xludf.DUMMYFUNCTION("""COMPUTED_VALUE"""),"完颜永济")</f>
        <v>完颜永济</v>
      </c>
      <c r="G268" s="1">
        <f>IFERROR(__xludf.DUMMYFUNCTION("""COMPUTED_VALUE"""),1208.0)</f>
        <v>1208</v>
      </c>
      <c r="H268" s="1">
        <f>IFERROR(__xludf.DUMMYFUNCTION("""COMPUTED_VALUE"""),12.0)</f>
        <v>12</v>
      </c>
      <c r="I268" s="1">
        <f>IFERROR(__xludf.DUMMYFUNCTION("""COMPUTED_VALUE"""),30.0)</f>
        <v>30</v>
      </c>
      <c r="J268" s="1">
        <f>IFERROR(__xludf.DUMMYFUNCTION("""COMPUTED_VALUE"""),1213.0)</f>
        <v>1213</v>
      </c>
      <c r="K268" s="1">
        <f>IFERROR(__xludf.DUMMYFUNCTION("""COMPUTED_VALUE"""),9.0)</f>
        <v>9</v>
      </c>
      <c r="L268" s="1">
        <f>IFERROR(__xludf.DUMMYFUNCTION("""COMPUTED_VALUE"""),11.0)</f>
        <v>11</v>
      </c>
      <c r="M268" s="1" t="str">
        <f>IFERROR(__xludf.DUMMYFUNCTION("""COMPUTED_VALUE"""),"4年255天")</f>
        <v>4年255天</v>
      </c>
      <c r="N268" s="1" t="str">
        <f>IFERROR(__xludf.DUMMYFUNCTION("""COMPUTED_VALUE"""),"继承")</f>
        <v>继承</v>
      </c>
      <c r="O268" s="1" t="str">
        <f>IFERROR(__xludf.DUMMYFUNCTION("""COMPUTED_VALUE"""),"金世宗第七子")</f>
        <v>金世宗第七子</v>
      </c>
    </row>
    <row r="269">
      <c r="A269" s="1" t="str">
        <f>IFERROR(__xludf.DUMMYFUNCTION("SPLIT(CSV!A:A,"","")"),"金朝")</f>
        <v>金朝</v>
      </c>
      <c r="B269" s="1">
        <f>IFERROR(__xludf.DUMMYFUNCTION("""COMPUTED_VALUE"""),8.0)</f>
        <v>8</v>
      </c>
      <c r="C269" s="1" t="str">
        <f>IFERROR(__xludf.DUMMYFUNCTION("""COMPUTED_VALUE"""),"宣宗")</f>
        <v>宣宗</v>
      </c>
      <c r="D269" s="1" t="str">
        <f>IFERROR(__xludf.DUMMYFUNCTION("""COMPUTED_VALUE"""),"继天兴统述道勤仁英武圣孝皇帝")</f>
        <v>继天兴统述道勤仁英武圣孝皇帝</v>
      </c>
      <c r="E269" s="1" t="str">
        <f>IFERROR(__xludf.DUMMYFUNCTION("""COMPUTED_VALUE"""),"金宣宗")</f>
        <v>金宣宗</v>
      </c>
      <c r="F269" s="1" t="str">
        <f>IFERROR(__xludf.DUMMYFUNCTION("""COMPUTED_VALUE"""),"完颜珣")</f>
        <v>完颜珣</v>
      </c>
      <c r="G269" s="1">
        <f>IFERROR(__xludf.DUMMYFUNCTION("""COMPUTED_VALUE"""),1213.0)</f>
        <v>1213</v>
      </c>
      <c r="H269" s="1">
        <f>IFERROR(__xludf.DUMMYFUNCTION("""COMPUTED_VALUE"""),9.0)</f>
        <v>9</v>
      </c>
      <c r="I269" s="1">
        <f>IFERROR(__xludf.DUMMYFUNCTION("""COMPUTED_VALUE"""),12.0)</f>
        <v>12</v>
      </c>
      <c r="J269" s="1">
        <f>IFERROR(__xludf.DUMMYFUNCTION("""COMPUTED_VALUE"""),1224.0)</f>
        <v>1224</v>
      </c>
      <c r="K269" s="1">
        <f>IFERROR(__xludf.DUMMYFUNCTION("""COMPUTED_VALUE"""),1.0)</f>
        <v>1</v>
      </c>
      <c r="L269" s="1">
        <f>IFERROR(__xludf.DUMMYFUNCTION("""COMPUTED_VALUE"""),14.0)</f>
        <v>14</v>
      </c>
      <c r="M269" s="1" t="str">
        <f>IFERROR(__xludf.DUMMYFUNCTION("""COMPUTED_VALUE"""),"10年124天")</f>
        <v>10年124天</v>
      </c>
      <c r="N269" s="1" t="str">
        <f>IFERROR(__xludf.DUMMYFUNCTION("""COMPUTED_VALUE"""),"政变")</f>
        <v>政变</v>
      </c>
      <c r="O269" s="1" t="str">
        <f>IFERROR(__xludf.DUMMYFUNCTION("""COMPUTED_VALUE"""),"金世宗之孙，胡沙虎政变后拥立")</f>
        <v>金世宗之孙，胡沙虎政变后拥立</v>
      </c>
    </row>
    <row r="270">
      <c r="A270" s="1" t="str">
        <f>IFERROR(__xludf.DUMMYFUNCTION("SPLIT(CSV!A:A,"","")"),"金朝")</f>
        <v>金朝</v>
      </c>
      <c r="B270" s="1">
        <f>IFERROR(__xludf.DUMMYFUNCTION("""COMPUTED_VALUE"""),9.0)</f>
        <v>9</v>
      </c>
      <c r="C270" s="1" t="str">
        <f>IFERROR(__xludf.DUMMYFUNCTION("""COMPUTED_VALUE"""),"哀宗")</f>
        <v>哀宗</v>
      </c>
      <c r="D270" s="1" t="str">
        <f>IFERROR(__xludf.DUMMYFUNCTION("""COMPUTED_VALUE"""),"敬天德运忠文靖武天圣烈孝庄皇帝")</f>
        <v>敬天德运忠文靖武天圣烈孝庄皇帝</v>
      </c>
      <c r="E270" s="1" t="str">
        <f>IFERROR(__xludf.DUMMYFUNCTION("""COMPUTED_VALUE"""),"金哀宗")</f>
        <v>金哀宗</v>
      </c>
      <c r="F270" s="1" t="str">
        <f>IFERROR(__xludf.DUMMYFUNCTION("""COMPUTED_VALUE"""),"完颜守绪")</f>
        <v>完颜守绪</v>
      </c>
      <c r="G270" s="1">
        <f>IFERROR(__xludf.DUMMYFUNCTION("""COMPUTED_VALUE"""),1224.0)</f>
        <v>1224</v>
      </c>
      <c r="H270" s="1">
        <f>IFERROR(__xludf.DUMMYFUNCTION("""COMPUTED_VALUE"""),1.0)</f>
        <v>1</v>
      </c>
      <c r="I270" s="1">
        <f>IFERROR(__xludf.DUMMYFUNCTION("""COMPUTED_VALUE"""),15.0)</f>
        <v>15</v>
      </c>
      <c r="J270" s="1">
        <f>IFERROR(__xludf.DUMMYFUNCTION("""COMPUTED_VALUE"""),1234.0)</f>
        <v>1234</v>
      </c>
      <c r="K270" s="1">
        <f>IFERROR(__xludf.DUMMYFUNCTION("""COMPUTED_VALUE"""),2.0)</f>
        <v>2</v>
      </c>
      <c r="L270" s="1">
        <f>IFERROR(__xludf.DUMMYFUNCTION("""COMPUTED_VALUE"""),9.0)</f>
        <v>9</v>
      </c>
      <c r="M270" s="1" t="str">
        <f>IFERROR(__xludf.DUMMYFUNCTION("""COMPUTED_VALUE"""),"10年25天")</f>
        <v>10年25天</v>
      </c>
      <c r="N270" s="1" t="str">
        <f>IFERROR(__xludf.DUMMYFUNCTION("""COMPUTED_VALUE"""),"继承")</f>
        <v>继承</v>
      </c>
      <c r="O270" s="1" t="str">
        <f>IFERROR(__xludf.DUMMYFUNCTION("""COMPUTED_VALUE"""),"金宣宗第三子")</f>
        <v>金宣宗第三子</v>
      </c>
    </row>
    <row r="271">
      <c r="A271" s="1" t="str">
        <f>IFERROR(__xludf.DUMMYFUNCTION("SPLIT(CSV!A:A,"","")"),"南宋")</f>
        <v>南宋</v>
      </c>
      <c r="B271" s="1">
        <f>IFERROR(__xludf.DUMMYFUNCTION("""COMPUTED_VALUE"""),5.0)</f>
        <v>5</v>
      </c>
      <c r="C271" s="1" t="str">
        <f>IFERROR(__xludf.DUMMYFUNCTION("""COMPUTED_VALUE"""),"理宗")</f>
        <v>理宗</v>
      </c>
      <c r="D271" s="1" t="str">
        <f>IFERROR(__xludf.DUMMYFUNCTION("""COMPUTED_VALUE"""),"建道备德大功复兴烈文仁武圣明安孝皇帝")</f>
        <v>建道备德大功复兴烈文仁武圣明安孝皇帝</v>
      </c>
      <c r="E271" s="1" t="str">
        <f>IFERROR(__xludf.DUMMYFUNCTION("""COMPUTED_VALUE"""),"宋理宗")</f>
        <v>宋理宗</v>
      </c>
      <c r="F271" s="1" t="str">
        <f>IFERROR(__xludf.DUMMYFUNCTION("""COMPUTED_VALUE"""),"赵昀")</f>
        <v>赵昀</v>
      </c>
      <c r="G271" s="1">
        <f>IFERROR(__xludf.DUMMYFUNCTION("""COMPUTED_VALUE"""),1224.0)</f>
        <v>1224</v>
      </c>
      <c r="H271" s="1">
        <f>IFERROR(__xludf.DUMMYFUNCTION("""COMPUTED_VALUE"""),9.0)</f>
        <v>9</v>
      </c>
      <c r="I271" s="1">
        <f>IFERROR(__xludf.DUMMYFUNCTION("""COMPUTED_VALUE"""),18.0)</f>
        <v>18</v>
      </c>
      <c r="J271" s="1">
        <f>IFERROR(__xludf.DUMMYFUNCTION("""COMPUTED_VALUE"""),1264.0)</f>
        <v>1264</v>
      </c>
      <c r="K271" s="1">
        <f>IFERROR(__xludf.DUMMYFUNCTION("""COMPUTED_VALUE"""),11.0)</f>
        <v>11</v>
      </c>
      <c r="L271" s="1">
        <f>IFERROR(__xludf.DUMMYFUNCTION("""COMPUTED_VALUE"""),16.0)</f>
        <v>16</v>
      </c>
      <c r="M271" s="1" t="str">
        <f>IFERROR(__xludf.DUMMYFUNCTION("""COMPUTED_VALUE"""),"40年59天")</f>
        <v>40年59天</v>
      </c>
      <c r="N271" s="1" t="str">
        <f>IFERROR(__xludf.DUMMYFUNCTION("""COMPUTED_VALUE"""),"政变")</f>
        <v>政变</v>
      </c>
      <c r="O271" s="1" t="str">
        <f>IFERROR(__xludf.DUMMYFUNCTION("""COMPUTED_VALUE"""),"宋太祖十世孙，权臣史弥远拥立")</f>
        <v>宋太祖十世孙，权臣史弥远拥立</v>
      </c>
    </row>
    <row r="272">
      <c r="A272" s="1" t="str">
        <f>IFERROR(__xludf.DUMMYFUNCTION("SPLIT(CSV!A:A,"","")"),"金朝")</f>
        <v>金朝</v>
      </c>
      <c r="B272" s="1">
        <f>IFERROR(__xludf.DUMMYFUNCTION("""COMPUTED_VALUE"""),10.0)</f>
        <v>10</v>
      </c>
      <c r="C272" s="1" t="str">
        <f>IFERROR(__xludf.DUMMYFUNCTION("""COMPUTED_VALUE"""),"-")</f>
        <v>-</v>
      </c>
      <c r="D272" s="1" t="str">
        <f>IFERROR(__xludf.DUMMYFUNCTION("""COMPUTED_VALUE"""),"-")</f>
        <v>-</v>
      </c>
      <c r="E272" s="1" t="str">
        <f>IFERROR(__xludf.DUMMYFUNCTION("""COMPUTED_VALUE"""),"金末帝")</f>
        <v>金末帝</v>
      </c>
      <c r="F272" s="1" t="str">
        <f>IFERROR(__xludf.DUMMYFUNCTION("""COMPUTED_VALUE"""),"完颜承麟")</f>
        <v>完颜承麟</v>
      </c>
      <c r="G272" s="1">
        <f>IFERROR(__xludf.DUMMYFUNCTION("""COMPUTED_VALUE"""),1234.0)</f>
        <v>1234</v>
      </c>
      <c r="H272" s="1">
        <f>IFERROR(__xludf.DUMMYFUNCTION("""COMPUTED_VALUE"""),2.0)</f>
        <v>2</v>
      </c>
      <c r="I272" s="1">
        <f>IFERROR(__xludf.DUMMYFUNCTION("""COMPUTED_VALUE"""),9.0)</f>
        <v>9</v>
      </c>
      <c r="J272" s="1">
        <f>IFERROR(__xludf.DUMMYFUNCTION("""COMPUTED_VALUE"""),1234.0)</f>
        <v>1234</v>
      </c>
      <c r="K272" s="1">
        <f>IFERROR(__xludf.DUMMYFUNCTION("""COMPUTED_VALUE"""),2.0)</f>
        <v>2</v>
      </c>
      <c r="L272" s="1">
        <f>IFERROR(__xludf.DUMMYFUNCTION("""COMPUTED_VALUE"""),9.0)</f>
        <v>9</v>
      </c>
      <c r="M272" s="1" t="str">
        <f>IFERROR(__xludf.DUMMYFUNCTION("""COMPUTED_VALUE"""),"1天")</f>
        <v>1天</v>
      </c>
      <c r="N272" s="1" t="str">
        <f>IFERROR(__xludf.DUMMYFUNCTION("""COMPUTED_VALUE"""),"受禅")</f>
        <v>受禅</v>
      </c>
      <c r="O272" s="1" t="str">
        <f>IFERROR(__xludf.DUMMYFUNCTION("""COMPUTED_VALUE"""),"金哀宗禅让，城破死于乱军")</f>
        <v>金哀宗禅让，城破死于乱军</v>
      </c>
    </row>
    <row r="273">
      <c r="A273" s="1" t="str">
        <f>IFERROR(__xludf.DUMMYFUNCTION("SPLIT(CSV!A:A,"","")"),"元朝")</f>
        <v>元朝</v>
      </c>
      <c r="B273" s="1">
        <f>IFERROR(__xludf.DUMMYFUNCTION("""COMPUTED_VALUE"""),1.0)</f>
        <v>1</v>
      </c>
      <c r="C273" s="1" t="str">
        <f>IFERROR(__xludf.DUMMYFUNCTION("""COMPUTED_VALUE"""),"世祖")</f>
        <v>世祖</v>
      </c>
      <c r="D273" s="1" t="str">
        <f>IFERROR(__xludf.DUMMYFUNCTION("""COMPUTED_VALUE"""),"圣德神功文武皇帝")</f>
        <v>圣德神功文武皇帝</v>
      </c>
      <c r="E273" s="1" t="str">
        <f>IFERROR(__xludf.DUMMYFUNCTION("""COMPUTED_VALUE"""),"元世祖")</f>
        <v>元世祖</v>
      </c>
      <c r="F273" s="1" t="str">
        <f>IFERROR(__xludf.DUMMYFUNCTION("""COMPUTED_VALUE"""),"忽必烈")</f>
        <v>忽必烈</v>
      </c>
      <c r="G273" s="1">
        <f>IFERROR(__xludf.DUMMYFUNCTION("""COMPUTED_VALUE"""),1260.0)</f>
        <v>1260</v>
      </c>
      <c r="H273" s="1">
        <f>IFERROR(__xludf.DUMMYFUNCTION("""COMPUTED_VALUE"""),5.0)</f>
        <v>5</v>
      </c>
      <c r="I273" s="1">
        <f>IFERROR(__xludf.DUMMYFUNCTION("""COMPUTED_VALUE"""),5.0)</f>
        <v>5</v>
      </c>
      <c r="J273" s="1">
        <f>IFERROR(__xludf.DUMMYFUNCTION("""COMPUTED_VALUE"""),1294.0)</f>
        <v>1294</v>
      </c>
      <c r="K273" s="1">
        <f>IFERROR(__xludf.DUMMYFUNCTION("""COMPUTED_VALUE"""),2.0)</f>
        <v>2</v>
      </c>
      <c r="L273" s="1">
        <f>IFERROR(__xludf.DUMMYFUNCTION("""COMPUTED_VALUE"""),18.0)</f>
        <v>18</v>
      </c>
      <c r="M273" s="1" t="str">
        <f>IFERROR(__xludf.DUMMYFUNCTION("""COMPUTED_VALUE"""),"33年289天")</f>
        <v>33年289天</v>
      </c>
      <c r="N273" s="1" t="str">
        <f>IFERROR(__xludf.DUMMYFUNCTION("""COMPUTED_VALUE"""),"自立")</f>
        <v>自立</v>
      </c>
      <c r="O273" s="1" t="str">
        <f>IFERROR(__xludf.DUMMYFUNCTION("""COMPUTED_VALUE"""),"称帝于开平，建元中统")</f>
        <v>称帝于开平，建元中统</v>
      </c>
    </row>
    <row r="274">
      <c r="A274" s="1" t="str">
        <f>IFERROR(__xludf.DUMMYFUNCTION("SPLIT(CSV!A:A,"","")"),"南宋")</f>
        <v>南宋</v>
      </c>
      <c r="B274" s="1">
        <f>IFERROR(__xludf.DUMMYFUNCTION("""COMPUTED_VALUE"""),6.0)</f>
        <v>6</v>
      </c>
      <c r="C274" s="1" t="str">
        <f>IFERROR(__xludf.DUMMYFUNCTION("""COMPUTED_VALUE"""),"度宗")</f>
        <v>度宗</v>
      </c>
      <c r="D274" s="1" t="str">
        <f>IFERROR(__xludf.DUMMYFUNCTION("""COMPUTED_VALUE"""),"端文明武景孝皇帝")</f>
        <v>端文明武景孝皇帝</v>
      </c>
      <c r="E274" s="1" t="str">
        <f>IFERROR(__xludf.DUMMYFUNCTION("""COMPUTED_VALUE"""),"宋度宗")</f>
        <v>宋度宗</v>
      </c>
      <c r="F274" s="1" t="str">
        <f>IFERROR(__xludf.DUMMYFUNCTION("""COMPUTED_VALUE"""),"赵禥")</f>
        <v>赵禥</v>
      </c>
      <c r="G274" s="1">
        <f>IFERROR(__xludf.DUMMYFUNCTION("""COMPUTED_VALUE"""),1264.0)</f>
        <v>1264</v>
      </c>
      <c r="H274" s="1">
        <f>IFERROR(__xludf.DUMMYFUNCTION("""COMPUTED_VALUE"""),11.0)</f>
        <v>11</v>
      </c>
      <c r="I274" s="1">
        <f>IFERROR(__xludf.DUMMYFUNCTION("""COMPUTED_VALUE"""),16.0)</f>
        <v>16</v>
      </c>
      <c r="J274" s="1">
        <f>IFERROR(__xludf.DUMMYFUNCTION("""COMPUTED_VALUE"""),1274.0)</f>
        <v>1274</v>
      </c>
      <c r="K274" s="1">
        <f>IFERROR(__xludf.DUMMYFUNCTION("""COMPUTED_VALUE"""),8.0)</f>
        <v>8</v>
      </c>
      <c r="L274" s="1">
        <f>IFERROR(__xludf.DUMMYFUNCTION("""COMPUTED_VALUE"""),12.0)</f>
        <v>12</v>
      </c>
      <c r="M274" s="1" t="str">
        <f>IFERROR(__xludf.DUMMYFUNCTION("""COMPUTED_VALUE"""),"9年269天")</f>
        <v>9年269天</v>
      </c>
      <c r="N274" s="1" t="str">
        <f>IFERROR(__xludf.DUMMYFUNCTION("""COMPUTED_VALUE"""),"继承")</f>
        <v>继承</v>
      </c>
      <c r="O274" s="1" t="str">
        <f>IFERROR(__xludf.DUMMYFUNCTION("""COMPUTED_VALUE"""),"宋理宗之侄")</f>
        <v>宋理宗之侄</v>
      </c>
    </row>
    <row r="275">
      <c r="A275" s="1" t="str">
        <f>IFERROR(__xludf.DUMMYFUNCTION("SPLIT(CSV!A:A,"","")"),"南宋")</f>
        <v>南宋</v>
      </c>
      <c r="B275" s="1">
        <f>IFERROR(__xludf.DUMMYFUNCTION("""COMPUTED_VALUE"""),7.0)</f>
        <v>7</v>
      </c>
      <c r="C275" s="1" t="str">
        <f>IFERROR(__xludf.DUMMYFUNCTION("""COMPUTED_VALUE"""),"-")</f>
        <v>-</v>
      </c>
      <c r="D275" s="1" t="str">
        <f>IFERROR(__xludf.DUMMYFUNCTION("""COMPUTED_VALUE"""),"孝恭懿圣皇帝")</f>
        <v>孝恭懿圣皇帝</v>
      </c>
      <c r="E275" s="1" t="str">
        <f>IFERROR(__xludf.DUMMYFUNCTION("""COMPUTED_VALUE"""),"宋恭帝")</f>
        <v>宋恭帝</v>
      </c>
      <c r="F275" s="1" t="str">
        <f>IFERROR(__xludf.DUMMYFUNCTION("""COMPUTED_VALUE"""),"赵㬎")</f>
        <v>赵㬎</v>
      </c>
      <c r="G275" s="1">
        <f>IFERROR(__xludf.DUMMYFUNCTION("""COMPUTED_VALUE"""),1274.0)</f>
        <v>1274</v>
      </c>
      <c r="H275" s="1">
        <f>IFERROR(__xludf.DUMMYFUNCTION("""COMPUTED_VALUE"""),8.0)</f>
        <v>8</v>
      </c>
      <c r="I275" s="1">
        <f>IFERROR(__xludf.DUMMYFUNCTION("""COMPUTED_VALUE"""),12.0)</f>
        <v>12</v>
      </c>
      <c r="J275" s="1">
        <f>IFERROR(__xludf.DUMMYFUNCTION("""COMPUTED_VALUE"""),1276.0)</f>
        <v>1276</v>
      </c>
      <c r="K275" s="1">
        <f>IFERROR(__xludf.DUMMYFUNCTION("""COMPUTED_VALUE"""),2.0)</f>
        <v>2</v>
      </c>
      <c r="L275" s="1">
        <f>IFERROR(__xludf.DUMMYFUNCTION("""COMPUTED_VALUE"""),4.0)</f>
        <v>4</v>
      </c>
      <c r="M275" s="1" t="str">
        <f>IFERROR(__xludf.DUMMYFUNCTION("""COMPUTED_VALUE"""),"1年176天")</f>
        <v>1年176天</v>
      </c>
      <c r="N275" s="1" t="str">
        <f>IFERROR(__xludf.DUMMYFUNCTION("""COMPUTED_VALUE"""),"继承")</f>
        <v>继承</v>
      </c>
      <c r="O275" s="1" t="str">
        <f>IFERROR(__xludf.DUMMYFUNCTION("""COMPUTED_VALUE"""),"宋度宗次子")</f>
        <v>宋度宗次子</v>
      </c>
    </row>
    <row r="276">
      <c r="A276" s="1" t="str">
        <f>IFERROR(__xludf.DUMMYFUNCTION("SPLIT(CSV!A:A,"","")"),"南宋")</f>
        <v>南宋</v>
      </c>
      <c r="B276" s="1">
        <f>IFERROR(__xludf.DUMMYFUNCTION("""COMPUTED_VALUE"""),8.0)</f>
        <v>8</v>
      </c>
      <c r="C276" s="1" t="str">
        <f>IFERROR(__xludf.DUMMYFUNCTION("""COMPUTED_VALUE"""),"端宗")</f>
        <v>端宗</v>
      </c>
      <c r="D276" s="1" t="str">
        <f>IFERROR(__xludf.DUMMYFUNCTION("""COMPUTED_VALUE"""),"裕文昭武愍孝皇帝")</f>
        <v>裕文昭武愍孝皇帝</v>
      </c>
      <c r="E276" s="1" t="str">
        <f>IFERROR(__xludf.DUMMYFUNCTION("""COMPUTED_VALUE"""),"宋端宗")</f>
        <v>宋端宗</v>
      </c>
      <c r="F276" s="1" t="str">
        <f>IFERROR(__xludf.DUMMYFUNCTION("""COMPUTED_VALUE"""),"赵昰")</f>
        <v>赵昰</v>
      </c>
      <c r="G276" s="1">
        <f>IFERROR(__xludf.DUMMYFUNCTION("""COMPUTED_VALUE"""),1276.0)</f>
        <v>1276</v>
      </c>
      <c r="H276" s="1">
        <f>IFERROR(__xludf.DUMMYFUNCTION("""COMPUTED_VALUE"""),6.0)</f>
        <v>6</v>
      </c>
      <c r="I276" s="1">
        <f>IFERROR(__xludf.DUMMYFUNCTION("""COMPUTED_VALUE"""),14.0)</f>
        <v>14</v>
      </c>
      <c r="J276" s="1">
        <f>IFERROR(__xludf.DUMMYFUNCTION("""COMPUTED_VALUE"""),1278.0)</f>
        <v>1278</v>
      </c>
      <c r="K276" s="1">
        <f>IFERROR(__xludf.DUMMYFUNCTION("""COMPUTED_VALUE"""),5.0)</f>
        <v>5</v>
      </c>
      <c r="L276" s="1">
        <f>IFERROR(__xludf.DUMMYFUNCTION("""COMPUTED_VALUE"""),8.0)</f>
        <v>8</v>
      </c>
      <c r="M276" s="1" t="str">
        <f>IFERROR(__xludf.DUMMYFUNCTION("""COMPUTED_VALUE"""),"1年328天")</f>
        <v>1年328天</v>
      </c>
      <c r="N276" s="1" t="str">
        <f>IFERROR(__xludf.DUMMYFUNCTION("""COMPUTED_VALUE"""),"自立")</f>
        <v>自立</v>
      </c>
      <c r="O276" s="1" t="str">
        <f>IFERROR(__xludf.DUMMYFUNCTION("""COMPUTED_VALUE"""),"宋度宗长子，南宋流亡朝廷")</f>
        <v>宋度宗长子，南宋流亡朝廷</v>
      </c>
    </row>
    <row r="277">
      <c r="A277" s="1" t="str">
        <f>IFERROR(__xludf.DUMMYFUNCTION("SPLIT(CSV!A:A,"","")"),"南宋")</f>
        <v>南宋</v>
      </c>
      <c r="B277" s="1">
        <f>IFERROR(__xludf.DUMMYFUNCTION("""COMPUTED_VALUE"""),9.0)</f>
        <v>9</v>
      </c>
      <c r="C277" s="1" t="str">
        <f>IFERROR(__xludf.DUMMYFUNCTION("""COMPUTED_VALUE"""),"-")</f>
        <v>-</v>
      </c>
      <c r="D277" s="1" t="str">
        <f>IFERROR(__xludf.DUMMYFUNCTION("""COMPUTED_VALUE"""),"恭皇帝/幼主")</f>
        <v>恭皇帝/幼主</v>
      </c>
      <c r="E277" s="1" t="str">
        <f>IFERROR(__xludf.DUMMYFUNCTION("""COMPUTED_VALUE"""),"宋怀宗")</f>
        <v>宋怀宗</v>
      </c>
      <c r="F277" s="1" t="str">
        <f>IFERROR(__xludf.DUMMYFUNCTION("""COMPUTED_VALUE"""),"赵昺")</f>
        <v>赵昺</v>
      </c>
      <c r="G277" s="1">
        <f>IFERROR(__xludf.DUMMYFUNCTION("""COMPUTED_VALUE"""),1278.0)</f>
        <v>1278</v>
      </c>
      <c r="H277" s="1">
        <f>IFERROR(__xludf.DUMMYFUNCTION("""COMPUTED_VALUE"""),5.0)</f>
        <v>5</v>
      </c>
      <c r="I277" s="1">
        <f>IFERROR(__xludf.DUMMYFUNCTION("""COMPUTED_VALUE"""),10.0)</f>
        <v>10</v>
      </c>
      <c r="J277" s="1">
        <f>IFERROR(__xludf.DUMMYFUNCTION("""COMPUTED_VALUE"""),1279.0)</f>
        <v>1279</v>
      </c>
      <c r="K277" s="1">
        <f>IFERROR(__xludf.DUMMYFUNCTION("""COMPUTED_VALUE"""),3.0)</f>
        <v>3</v>
      </c>
      <c r="L277" s="1">
        <f>IFERROR(__xludf.DUMMYFUNCTION("""COMPUTED_VALUE"""),19.0)</f>
        <v>19</v>
      </c>
      <c r="M277" s="1" t="str">
        <f>IFERROR(__xludf.DUMMYFUNCTION("""COMPUTED_VALUE"""),"313天")</f>
        <v>313天</v>
      </c>
      <c r="N277" s="1" t="str">
        <f>IFERROR(__xludf.DUMMYFUNCTION("""COMPUTED_VALUE"""),"继承")</f>
        <v>继承</v>
      </c>
      <c r="O277" s="1" t="str">
        <f>IFERROR(__xludf.DUMMYFUNCTION("""COMPUTED_VALUE"""),"宋度宗第三子，崖山海战后南宋灭亡")</f>
        <v>宋度宗第三子，崖山海战后南宋灭亡</v>
      </c>
    </row>
    <row r="278">
      <c r="A278" s="1" t="str">
        <f>IFERROR(__xludf.DUMMYFUNCTION("SPLIT(CSV!A:A,"","")"),"元朝")</f>
        <v>元朝</v>
      </c>
      <c r="B278" s="1">
        <f>IFERROR(__xludf.DUMMYFUNCTION("""COMPUTED_VALUE"""),2.0)</f>
        <v>2</v>
      </c>
      <c r="C278" s="1" t="str">
        <f>IFERROR(__xludf.DUMMYFUNCTION("""COMPUTED_VALUE"""),"成宗")</f>
        <v>成宗</v>
      </c>
      <c r="D278" s="1" t="str">
        <f>IFERROR(__xludf.DUMMYFUNCTION("""COMPUTED_VALUE"""),"钦明广孝皇帝")</f>
        <v>钦明广孝皇帝</v>
      </c>
      <c r="E278" s="1" t="str">
        <f>IFERROR(__xludf.DUMMYFUNCTION("""COMPUTED_VALUE"""),"元成宗")</f>
        <v>元成宗</v>
      </c>
      <c r="F278" s="1" t="str">
        <f>IFERROR(__xludf.DUMMYFUNCTION("""COMPUTED_VALUE"""),"铁穆耳")</f>
        <v>铁穆耳</v>
      </c>
      <c r="G278" s="1">
        <f>IFERROR(__xludf.DUMMYFUNCTION("""COMPUTED_VALUE"""),1294.0)</f>
        <v>1294</v>
      </c>
      <c r="H278" s="1">
        <f>IFERROR(__xludf.DUMMYFUNCTION("""COMPUTED_VALUE"""),5.0)</f>
        <v>5</v>
      </c>
      <c r="I278" s="1">
        <f>IFERROR(__xludf.DUMMYFUNCTION("""COMPUTED_VALUE"""),10.0)</f>
        <v>10</v>
      </c>
      <c r="J278" s="1">
        <f>IFERROR(__xludf.DUMMYFUNCTION("""COMPUTED_VALUE"""),1307.0)</f>
        <v>1307</v>
      </c>
      <c r="K278" s="1">
        <f>IFERROR(__xludf.DUMMYFUNCTION("""COMPUTED_VALUE"""),2.0)</f>
        <v>2</v>
      </c>
      <c r="L278" s="1">
        <f>IFERROR(__xludf.DUMMYFUNCTION("""COMPUTED_VALUE"""),10.0)</f>
        <v>10</v>
      </c>
      <c r="M278" s="1" t="str">
        <f>IFERROR(__xludf.DUMMYFUNCTION("""COMPUTED_VALUE"""),"12年276天")</f>
        <v>12年276天</v>
      </c>
      <c r="N278" s="1" t="str">
        <f>IFERROR(__xludf.DUMMYFUNCTION("""COMPUTED_VALUE"""),"继承")</f>
        <v>继承</v>
      </c>
      <c r="O278" s="1" t="str">
        <f>IFERROR(__xludf.DUMMYFUNCTION("""COMPUTED_VALUE"""),"元世祖之孙，真金太子第三子")</f>
        <v>元世祖之孙，真金太子第三子</v>
      </c>
    </row>
    <row r="279">
      <c r="A279" s="1" t="str">
        <f>IFERROR(__xludf.DUMMYFUNCTION("SPLIT(CSV!A:A,"","")"),"元朝")</f>
        <v>元朝</v>
      </c>
      <c r="B279" s="1">
        <f>IFERROR(__xludf.DUMMYFUNCTION("""COMPUTED_VALUE"""),3.0)</f>
        <v>3</v>
      </c>
      <c r="C279" s="1" t="str">
        <f>IFERROR(__xludf.DUMMYFUNCTION("""COMPUTED_VALUE"""),"武宗")</f>
        <v>武宗</v>
      </c>
      <c r="D279" s="1" t="str">
        <f>IFERROR(__xludf.DUMMYFUNCTION("""COMPUTED_VALUE"""),"仁惠宣孝皇帝")</f>
        <v>仁惠宣孝皇帝</v>
      </c>
      <c r="E279" s="1" t="str">
        <f>IFERROR(__xludf.DUMMYFUNCTION("""COMPUTED_VALUE"""),"元武宗")</f>
        <v>元武宗</v>
      </c>
      <c r="F279" s="1" t="str">
        <f>IFERROR(__xludf.DUMMYFUNCTION("""COMPUTED_VALUE"""),"海山")</f>
        <v>海山</v>
      </c>
      <c r="G279" s="1">
        <f>IFERROR(__xludf.DUMMYFUNCTION("""COMPUTED_VALUE"""),1307.0)</f>
        <v>1307</v>
      </c>
      <c r="H279" s="1">
        <f>IFERROR(__xludf.DUMMYFUNCTION("""COMPUTED_VALUE"""),6.0)</f>
        <v>6</v>
      </c>
      <c r="I279" s="1">
        <f>IFERROR(__xludf.DUMMYFUNCTION("""COMPUTED_VALUE"""),21.0)</f>
        <v>21</v>
      </c>
      <c r="J279" s="1">
        <f>IFERROR(__xludf.DUMMYFUNCTION("""COMPUTED_VALUE"""),1311.0)</f>
        <v>1311</v>
      </c>
      <c r="K279" s="1">
        <f>IFERROR(__xludf.DUMMYFUNCTION("""COMPUTED_VALUE"""),1.0)</f>
        <v>1</v>
      </c>
      <c r="L279" s="1">
        <f>IFERROR(__xludf.DUMMYFUNCTION("""COMPUTED_VALUE"""),27.0)</f>
        <v>27</v>
      </c>
      <c r="M279" s="1" t="str">
        <f>IFERROR(__xludf.DUMMYFUNCTION("""COMPUTED_VALUE"""),"3年220天")</f>
        <v>3年220天</v>
      </c>
      <c r="N279" s="1" t="str">
        <f>IFERROR(__xludf.DUMMYFUNCTION("""COMPUTED_VALUE"""),"继承")</f>
        <v>继承</v>
      </c>
      <c r="O279" s="1" t="str">
        <f>IFERROR(__xludf.DUMMYFUNCTION("""COMPUTED_VALUE"""),"元成宗之侄，答剌麻八剌之子")</f>
        <v>元成宗之侄，答剌麻八剌之子</v>
      </c>
    </row>
    <row r="280">
      <c r="A280" s="1" t="str">
        <f>IFERROR(__xludf.DUMMYFUNCTION("SPLIT(CSV!A:A,"","")"),"元朝")</f>
        <v>元朝</v>
      </c>
      <c r="B280" s="1">
        <f>IFERROR(__xludf.DUMMYFUNCTION("""COMPUTED_VALUE"""),4.0)</f>
        <v>4</v>
      </c>
      <c r="C280" s="1" t="str">
        <f>IFERROR(__xludf.DUMMYFUNCTION("""COMPUTED_VALUE"""),"仁宗")</f>
        <v>仁宗</v>
      </c>
      <c r="D280" s="1" t="str">
        <f>IFERROR(__xludf.DUMMYFUNCTION("""COMPUTED_VALUE"""),"圣文钦孝皇帝")</f>
        <v>圣文钦孝皇帝</v>
      </c>
      <c r="E280" s="1" t="str">
        <f>IFERROR(__xludf.DUMMYFUNCTION("""COMPUTED_VALUE"""),"元仁宗")</f>
        <v>元仁宗</v>
      </c>
      <c r="F280" s="1" t="str">
        <f>IFERROR(__xludf.DUMMYFUNCTION("""COMPUTED_VALUE"""),"爱育黎拔力八达")</f>
        <v>爱育黎拔力八达</v>
      </c>
      <c r="G280" s="1">
        <f>IFERROR(__xludf.DUMMYFUNCTION("""COMPUTED_VALUE"""),1311.0)</f>
        <v>1311</v>
      </c>
      <c r="H280" s="1">
        <f>IFERROR(__xludf.DUMMYFUNCTION("""COMPUTED_VALUE"""),4.0)</f>
        <v>4</v>
      </c>
      <c r="I280" s="1">
        <f>IFERROR(__xludf.DUMMYFUNCTION("""COMPUTED_VALUE"""),7.0)</f>
        <v>7</v>
      </c>
      <c r="J280" s="1">
        <f>IFERROR(__xludf.DUMMYFUNCTION("""COMPUTED_VALUE"""),1320.0)</f>
        <v>1320</v>
      </c>
      <c r="K280" s="1">
        <f>IFERROR(__xludf.DUMMYFUNCTION("""COMPUTED_VALUE"""),3.0)</f>
        <v>3</v>
      </c>
      <c r="L280" s="1">
        <f>IFERROR(__xludf.DUMMYFUNCTION("""COMPUTED_VALUE"""),1.0)</f>
        <v>1</v>
      </c>
      <c r="M280" s="1" t="str">
        <f>IFERROR(__xludf.DUMMYFUNCTION("""COMPUTED_VALUE"""),"8年329天")</f>
        <v>8年329天</v>
      </c>
      <c r="N280" s="1" t="str">
        <f>IFERROR(__xludf.DUMMYFUNCTION("""COMPUTED_VALUE"""),"继承")</f>
        <v>继承</v>
      </c>
      <c r="O280" s="1" t="str">
        <f>IFERROR(__xludf.DUMMYFUNCTION("""COMPUTED_VALUE"""),"元武宗之弟")</f>
        <v>元武宗之弟</v>
      </c>
    </row>
    <row r="281">
      <c r="A281" s="1" t="str">
        <f>IFERROR(__xludf.DUMMYFUNCTION("SPLIT(CSV!A:A,"","")"),"元朝")</f>
        <v>元朝</v>
      </c>
      <c r="B281" s="1">
        <f>IFERROR(__xludf.DUMMYFUNCTION("""COMPUTED_VALUE"""),5.0)</f>
        <v>5</v>
      </c>
      <c r="C281" s="1" t="str">
        <f>IFERROR(__xludf.DUMMYFUNCTION("""COMPUTED_VALUE"""),"英宗")</f>
        <v>英宗</v>
      </c>
      <c r="D281" s="1" t="str">
        <f>IFERROR(__xludf.DUMMYFUNCTION("""COMPUTED_VALUE"""),"睿圣文孝皇帝")</f>
        <v>睿圣文孝皇帝</v>
      </c>
      <c r="E281" s="1" t="str">
        <f>IFERROR(__xludf.DUMMYFUNCTION("""COMPUTED_VALUE"""),"元英宗")</f>
        <v>元英宗</v>
      </c>
      <c r="F281" s="1" t="str">
        <f>IFERROR(__xludf.DUMMYFUNCTION("""COMPUTED_VALUE"""),"硕德八剌")</f>
        <v>硕德八剌</v>
      </c>
      <c r="G281" s="1">
        <f>IFERROR(__xludf.DUMMYFUNCTION("""COMPUTED_VALUE"""),1320.0)</f>
        <v>1320</v>
      </c>
      <c r="H281" s="1">
        <f>IFERROR(__xludf.DUMMYFUNCTION("""COMPUTED_VALUE"""),4.0)</f>
        <v>4</v>
      </c>
      <c r="I281" s="1">
        <f>IFERROR(__xludf.DUMMYFUNCTION("""COMPUTED_VALUE"""),19.0)</f>
        <v>19</v>
      </c>
      <c r="J281" s="1">
        <f>IFERROR(__xludf.DUMMYFUNCTION("""COMPUTED_VALUE"""),1323.0)</f>
        <v>1323</v>
      </c>
      <c r="K281" s="1">
        <f>IFERROR(__xludf.DUMMYFUNCTION("""COMPUTED_VALUE"""),9.0)</f>
        <v>9</v>
      </c>
      <c r="L281" s="1">
        <f>IFERROR(__xludf.DUMMYFUNCTION("""COMPUTED_VALUE"""),4.0)</f>
        <v>4</v>
      </c>
      <c r="M281" s="1" t="str">
        <f>IFERROR(__xludf.DUMMYFUNCTION("""COMPUTED_VALUE"""),"3年138天")</f>
        <v>3年138天</v>
      </c>
      <c r="N281" s="1" t="str">
        <f>IFERROR(__xludf.DUMMYFUNCTION("""COMPUTED_VALUE"""),"继承")</f>
        <v>继承</v>
      </c>
      <c r="O281" s="1" t="str">
        <f>IFERROR(__xludf.DUMMYFUNCTION("""COMPUTED_VALUE"""),"元仁宗嫡子")</f>
        <v>元仁宗嫡子</v>
      </c>
    </row>
    <row r="282">
      <c r="A282" s="1" t="str">
        <f>IFERROR(__xludf.DUMMYFUNCTION("SPLIT(CSV!A:A,"","")"),"元朝")</f>
        <v>元朝</v>
      </c>
      <c r="B282" s="1">
        <f>IFERROR(__xludf.DUMMYFUNCTION("""COMPUTED_VALUE"""),6.0)</f>
        <v>6</v>
      </c>
      <c r="C282" s="1" t="str">
        <f>IFERROR(__xludf.DUMMYFUNCTION("""COMPUTED_VALUE"""),"-")</f>
        <v>-</v>
      </c>
      <c r="D282" s="1" t="str">
        <f>IFERROR(__xludf.DUMMYFUNCTION("""COMPUTED_VALUE"""),"-")</f>
        <v>-</v>
      </c>
      <c r="E282" s="1" t="str">
        <f>IFERROR(__xludf.DUMMYFUNCTION("""COMPUTED_VALUE"""),"泰定帝")</f>
        <v>泰定帝</v>
      </c>
      <c r="F282" s="1" t="str">
        <f>IFERROR(__xludf.DUMMYFUNCTION("""COMPUTED_VALUE"""),"也孙铁木儿")</f>
        <v>也孙铁木儿</v>
      </c>
      <c r="G282" s="1">
        <f>IFERROR(__xludf.DUMMYFUNCTION("""COMPUTED_VALUE"""),1323.0)</f>
        <v>1323</v>
      </c>
      <c r="H282" s="1">
        <f>IFERROR(__xludf.DUMMYFUNCTION("""COMPUTED_VALUE"""),10.0)</f>
        <v>10</v>
      </c>
      <c r="I282" s="1">
        <f>IFERROR(__xludf.DUMMYFUNCTION("""COMPUTED_VALUE"""),4.0)</f>
        <v>4</v>
      </c>
      <c r="J282" s="1">
        <f>IFERROR(__xludf.DUMMYFUNCTION("""COMPUTED_VALUE"""),1328.0)</f>
        <v>1328</v>
      </c>
      <c r="K282" s="1">
        <f>IFERROR(__xludf.DUMMYFUNCTION("""COMPUTED_VALUE"""),8.0)</f>
        <v>8</v>
      </c>
      <c r="L282" s="1">
        <f>IFERROR(__xludf.DUMMYFUNCTION("""COMPUTED_VALUE"""),15.0)</f>
        <v>15</v>
      </c>
      <c r="M282" s="1" t="str">
        <f>IFERROR(__xludf.DUMMYFUNCTION("""COMPUTED_VALUE"""),"4年316天")</f>
        <v>4年316天</v>
      </c>
      <c r="N282" s="1" t="str">
        <f>IFERROR(__xludf.DUMMYFUNCTION("""COMPUTED_VALUE"""),"政变")</f>
        <v>政变</v>
      </c>
      <c r="O282" s="1" t="str">
        <f>IFERROR(__xludf.DUMMYFUNCTION("""COMPUTED_VALUE"""),"元世祖曾孙，晋王，南坡之变后即位")</f>
        <v>元世祖曾孙，晋王，南坡之变后即位</v>
      </c>
    </row>
    <row r="283">
      <c r="A283" s="1" t="str">
        <f>IFERROR(__xludf.DUMMYFUNCTION("SPLIT(CSV!A:A,"","")"),"元朝")</f>
        <v>元朝</v>
      </c>
      <c r="B283" s="1">
        <f>IFERROR(__xludf.DUMMYFUNCTION("""COMPUTED_VALUE"""),7.0)</f>
        <v>7</v>
      </c>
      <c r="C283" s="1" t="str">
        <f>IFERROR(__xludf.DUMMYFUNCTION("""COMPUTED_VALUE"""),"-")</f>
        <v>-</v>
      </c>
      <c r="D283" s="1" t="str">
        <f>IFERROR(__xludf.DUMMYFUNCTION("""COMPUTED_VALUE"""),"-")</f>
        <v>-</v>
      </c>
      <c r="E283" s="1" t="str">
        <f>IFERROR(__xludf.DUMMYFUNCTION("""COMPUTED_VALUE"""),"天顺帝")</f>
        <v>天顺帝</v>
      </c>
      <c r="F283" s="1" t="str">
        <f>IFERROR(__xludf.DUMMYFUNCTION("""COMPUTED_VALUE"""),"阿剌吉八")</f>
        <v>阿剌吉八</v>
      </c>
      <c r="G283" s="1">
        <f>IFERROR(__xludf.DUMMYFUNCTION("""COMPUTED_VALUE"""),1328.0)</f>
        <v>1328</v>
      </c>
      <c r="H283" s="1">
        <f>IFERROR(__xludf.DUMMYFUNCTION("""COMPUTED_VALUE"""),10.0)</f>
        <v>10</v>
      </c>
      <c r="I283" s="1">
        <f>IFERROR(__xludf.DUMMYFUNCTION("""COMPUTED_VALUE"""),3.0)</f>
        <v>3</v>
      </c>
      <c r="J283" s="1">
        <f>IFERROR(__xludf.DUMMYFUNCTION("""COMPUTED_VALUE"""),1328.0)</f>
        <v>1328</v>
      </c>
      <c r="K283" s="1">
        <f>IFERROR(__xludf.DUMMYFUNCTION("""COMPUTED_VALUE"""),11.0)</f>
        <v>11</v>
      </c>
      <c r="L283" s="1">
        <f>IFERROR(__xludf.DUMMYFUNCTION("""COMPUTED_VALUE"""),14.0)</f>
        <v>14</v>
      </c>
      <c r="M283" s="1" t="str">
        <f>IFERROR(__xludf.DUMMYFUNCTION("""COMPUTED_VALUE"""),"42天")</f>
        <v>42天</v>
      </c>
      <c r="N283" s="1" t="str">
        <f>IFERROR(__xludf.DUMMYFUNCTION("""COMPUTED_VALUE"""),"继承")</f>
        <v>继承</v>
      </c>
      <c r="O283" s="1" t="str">
        <f>IFERROR(__xludf.DUMMYFUNCTION("""COMPUTED_VALUE"""),"泰定帝之子")</f>
        <v>泰定帝之子</v>
      </c>
    </row>
    <row r="284">
      <c r="A284" s="1" t="str">
        <f>IFERROR(__xludf.DUMMYFUNCTION("SPLIT(CSV!A:A,"","")"),"元朝")</f>
        <v>元朝</v>
      </c>
      <c r="B284" s="1">
        <f>IFERROR(__xludf.DUMMYFUNCTION("""COMPUTED_VALUE"""),8.0)</f>
        <v>8</v>
      </c>
      <c r="C284" s="1" t="str">
        <f>IFERROR(__xludf.DUMMYFUNCTION("""COMPUTED_VALUE"""),"文宗")</f>
        <v>文宗</v>
      </c>
      <c r="D284" s="1" t="str">
        <f>IFERROR(__xludf.DUMMYFUNCTION("""COMPUTED_VALUE"""),"圣明元孝皇帝")</f>
        <v>圣明元孝皇帝</v>
      </c>
      <c r="E284" s="1" t="str">
        <f>IFERROR(__xludf.DUMMYFUNCTION("""COMPUTED_VALUE"""),"元文宗")</f>
        <v>元文宗</v>
      </c>
      <c r="F284" s="1" t="str">
        <f>IFERROR(__xludf.DUMMYFUNCTION("""COMPUTED_VALUE"""),"图帖睦尔")</f>
        <v>图帖睦尔</v>
      </c>
      <c r="G284" s="1">
        <f>IFERROR(__xludf.DUMMYFUNCTION("""COMPUTED_VALUE"""),1328.0)</f>
        <v>1328</v>
      </c>
      <c r="H284" s="1">
        <f>IFERROR(__xludf.DUMMYFUNCTION("""COMPUTED_VALUE"""),10.0)</f>
        <v>10</v>
      </c>
      <c r="I284" s="1">
        <f>IFERROR(__xludf.DUMMYFUNCTION("""COMPUTED_VALUE"""),16.0)</f>
        <v>16</v>
      </c>
      <c r="J284" s="1">
        <f>IFERROR(__xludf.DUMMYFUNCTION("""COMPUTED_VALUE"""),1332.0)</f>
        <v>1332</v>
      </c>
      <c r="K284" s="1">
        <f>IFERROR(__xludf.DUMMYFUNCTION("""COMPUTED_VALUE"""),9.0)</f>
        <v>9</v>
      </c>
      <c r="L284" s="1">
        <f>IFERROR(__xludf.DUMMYFUNCTION("""COMPUTED_VALUE"""),2.0)</f>
        <v>2</v>
      </c>
      <c r="M284" s="1" t="str">
        <f>IFERROR(__xludf.DUMMYFUNCTION("""COMPUTED_VALUE"""),"3年321天")</f>
        <v>3年321天</v>
      </c>
      <c r="N284" s="1" t="str">
        <f>IFERROR(__xludf.DUMMYFUNCTION("""COMPUTED_VALUE"""),"政变")</f>
        <v>政变</v>
      </c>
      <c r="O284" s="1" t="str">
        <f>IFERROR(__xludf.DUMMYFUNCTION("""COMPUTED_VALUE"""),"元武宗次子，两都之战后即位")</f>
        <v>元武宗次子，两都之战后即位</v>
      </c>
    </row>
    <row r="285">
      <c r="A285" s="1" t="str">
        <f>IFERROR(__xludf.DUMMYFUNCTION("SPLIT(CSV!A:A,"","")"),"元朝")</f>
        <v>元朝</v>
      </c>
      <c r="B285" s="1">
        <f>IFERROR(__xludf.DUMMYFUNCTION("""COMPUTED_VALUE"""),9.0)</f>
        <v>9</v>
      </c>
      <c r="C285" s="1" t="str">
        <f>IFERROR(__xludf.DUMMYFUNCTION("""COMPUTED_VALUE"""),"明宗")</f>
        <v>明宗</v>
      </c>
      <c r="D285" s="1" t="str">
        <f>IFERROR(__xludf.DUMMYFUNCTION("""COMPUTED_VALUE"""),"翼献景孝皇帝")</f>
        <v>翼献景孝皇帝</v>
      </c>
      <c r="E285" s="1" t="str">
        <f>IFERROR(__xludf.DUMMYFUNCTION("""COMPUTED_VALUE"""),"元明宗")</f>
        <v>元明宗</v>
      </c>
      <c r="F285" s="1" t="str">
        <f>IFERROR(__xludf.DUMMYFUNCTION("""COMPUTED_VALUE"""),"和世㻋")</f>
        <v>和世㻋</v>
      </c>
      <c r="G285" s="1">
        <f>IFERROR(__xludf.DUMMYFUNCTION("""COMPUTED_VALUE"""),1329.0)</f>
        <v>1329</v>
      </c>
      <c r="H285" s="1">
        <f>IFERROR(__xludf.DUMMYFUNCTION("""COMPUTED_VALUE"""),2.0)</f>
        <v>2</v>
      </c>
      <c r="I285" s="1">
        <f>IFERROR(__xludf.DUMMYFUNCTION("""COMPUTED_VALUE"""),27.0)</f>
        <v>27</v>
      </c>
      <c r="J285" s="1">
        <f>IFERROR(__xludf.DUMMYFUNCTION("""COMPUTED_VALUE"""),1329.0)</f>
        <v>1329</v>
      </c>
      <c r="K285" s="1">
        <f>IFERROR(__xludf.DUMMYFUNCTION("""COMPUTED_VALUE"""),8.0)</f>
        <v>8</v>
      </c>
      <c r="L285" s="1">
        <f>IFERROR(__xludf.DUMMYFUNCTION("""COMPUTED_VALUE"""),30.0)</f>
        <v>30</v>
      </c>
      <c r="M285" s="1" t="str">
        <f>IFERROR(__xludf.DUMMYFUNCTION("""COMPUTED_VALUE"""),"184天")</f>
        <v>184天</v>
      </c>
      <c r="N285" s="1" t="str">
        <f>IFERROR(__xludf.DUMMYFUNCTION("""COMPUTED_VALUE"""),"继承")</f>
        <v>继承</v>
      </c>
      <c r="O285" s="1" t="str">
        <f>IFERROR(__xludf.DUMMYFUNCTION("""COMPUTED_VALUE"""),"元武宗长子")</f>
        <v>元武宗长子</v>
      </c>
    </row>
    <row r="286">
      <c r="A286" s="1" t="str">
        <f>IFERROR(__xludf.DUMMYFUNCTION("SPLIT(CSV!A:A,"","")"),"元朝")</f>
        <v>元朝</v>
      </c>
      <c r="B286" s="1">
        <f>IFERROR(__xludf.DUMMYFUNCTION("""COMPUTED_VALUE"""),10.0)</f>
        <v>10</v>
      </c>
      <c r="C286" s="1" t="str">
        <f>IFERROR(__xludf.DUMMYFUNCTION("""COMPUTED_VALUE"""),"宁宗")</f>
        <v>宁宗</v>
      </c>
      <c r="D286" s="1" t="str">
        <f>IFERROR(__xludf.DUMMYFUNCTION("""COMPUTED_VALUE"""),"冲圣嗣孝皇帝")</f>
        <v>冲圣嗣孝皇帝</v>
      </c>
      <c r="E286" s="1" t="str">
        <f>IFERROR(__xludf.DUMMYFUNCTION("""COMPUTED_VALUE"""),"元宁宗")</f>
        <v>元宁宗</v>
      </c>
      <c r="F286" s="1" t="str">
        <f>IFERROR(__xludf.DUMMYFUNCTION("""COMPUTED_VALUE"""),"懿璘质班")</f>
        <v>懿璘质班</v>
      </c>
      <c r="G286" s="1">
        <f>IFERROR(__xludf.DUMMYFUNCTION("""COMPUTED_VALUE"""),1332.0)</f>
        <v>1332</v>
      </c>
      <c r="H286" s="1">
        <f>IFERROR(__xludf.DUMMYFUNCTION("""COMPUTED_VALUE"""),10.0)</f>
        <v>10</v>
      </c>
      <c r="I286" s="1">
        <f>IFERROR(__xludf.DUMMYFUNCTION("""COMPUTED_VALUE"""),23.0)</f>
        <v>23</v>
      </c>
      <c r="J286" s="1">
        <f>IFERROR(__xludf.DUMMYFUNCTION("""COMPUTED_VALUE"""),1332.0)</f>
        <v>1332</v>
      </c>
      <c r="K286" s="1">
        <f>IFERROR(__xludf.DUMMYFUNCTION("""COMPUTED_VALUE"""),12.0)</f>
        <v>12</v>
      </c>
      <c r="L286" s="1">
        <f>IFERROR(__xludf.DUMMYFUNCTION("""COMPUTED_VALUE"""),14.0)</f>
        <v>14</v>
      </c>
      <c r="M286" s="1" t="str">
        <f>IFERROR(__xludf.DUMMYFUNCTION("""COMPUTED_VALUE"""),"52天")</f>
        <v>52天</v>
      </c>
      <c r="N286" s="1" t="str">
        <f>IFERROR(__xludf.DUMMYFUNCTION("""COMPUTED_VALUE"""),"继承")</f>
        <v>继承</v>
      </c>
      <c r="O286" s="1" t="str">
        <f>IFERROR(__xludf.DUMMYFUNCTION("""COMPUTED_VALUE"""),"元明宗次子")</f>
        <v>元明宗次子</v>
      </c>
    </row>
    <row r="287">
      <c r="A287" s="1" t="str">
        <f>IFERROR(__xludf.DUMMYFUNCTION("SPLIT(CSV!A:A,"","")"),"元朝")</f>
        <v>元朝</v>
      </c>
      <c r="B287" s="1">
        <f>IFERROR(__xludf.DUMMYFUNCTION("""COMPUTED_VALUE"""),11.0)</f>
        <v>11</v>
      </c>
      <c r="C287" s="1" t="str">
        <f>IFERROR(__xludf.DUMMYFUNCTION("""COMPUTED_VALUE"""),"惠宗")</f>
        <v>惠宗</v>
      </c>
      <c r="D287" s="1" t="str">
        <f>IFERROR(__xludf.DUMMYFUNCTION("""COMPUTED_VALUE"""),"顺皇帝（明太祖谥）")</f>
        <v>顺皇帝（明太祖谥）</v>
      </c>
      <c r="E287" s="1" t="str">
        <f>IFERROR(__xludf.DUMMYFUNCTION("""COMPUTED_VALUE"""),"元顺帝")</f>
        <v>元顺帝</v>
      </c>
      <c r="F287" s="1" t="str">
        <f>IFERROR(__xludf.DUMMYFUNCTION("""COMPUTED_VALUE"""),"妥懽帖睦尔")</f>
        <v>妥懽帖睦尔</v>
      </c>
      <c r="G287" s="1">
        <f>IFERROR(__xludf.DUMMYFUNCTION("""COMPUTED_VALUE"""),1333.0)</f>
        <v>1333</v>
      </c>
      <c r="H287" s="1">
        <f>IFERROR(__xludf.DUMMYFUNCTION("""COMPUTED_VALUE"""),7.0)</f>
        <v>7</v>
      </c>
      <c r="I287" s="1">
        <f>IFERROR(__xludf.DUMMYFUNCTION("""COMPUTED_VALUE"""),19.0)</f>
        <v>19</v>
      </c>
      <c r="J287" s="1">
        <f>IFERROR(__xludf.DUMMYFUNCTION("""COMPUTED_VALUE"""),1370.0)</f>
        <v>1370</v>
      </c>
      <c r="K287" s="1">
        <f>IFERROR(__xludf.DUMMYFUNCTION("""COMPUTED_VALUE"""),5.0)</f>
        <v>5</v>
      </c>
      <c r="L287" s="1">
        <f>IFERROR(__xludf.DUMMYFUNCTION("""COMPUTED_VALUE"""),23.0)</f>
        <v>23</v>
      </c>
      <c r="M287" s="1" t="str">
        <f>IFERROR(__xludf.DUMMYFUNCTION("""COMPUTED_VALUE"""),"36年308天")</f>
        <v>36年308天</v>
      </c>
      <c r="N287" s="1" t="str">
        <f>IFERROR(__xludf.DUMMYFUNCTION("""COMPUTED_VALUE"""),"继承")</f>
        <v>继承</v>
      </c>
      <c r="O287" s="1" t="str">
        <f>IFERROR(__xludf.DUMMYFUNCTION("""COMPUTED_VALUE"""),"元明宗长子，明军攻陷大都后北撤")</f>
        <v>元明宗长子，明军攻陷大都后北撤</v>
      </c>
    </row>
    <row r="288">
      <c r="A288" s="1" t="str">
        <f>IFERROR(__xludf.DUMMYFUNCTION("SPLIT(CSV!A:A,"","")"),"明朝")</f>
        <v>明朝</v>
      </c>
      <c r="B288" s="1">
        <f>IFERROR(__xludf.DUMMYFUNCTION("""COMPUTED_VALUE"""),1.0)</f>
        <v>1</v>
      </c>
      <c r="C288" s="1" t="str">
        <f>IFERROR(__xludf.DUMMYFUNCTION("""COMPUTED_VALUE"""),"太祖")</f>
        <v>太祖</v>
      </c>
      <c r="D288" s="1" t="str">
        <f>IFERROR(__xludf.DUMMYFUNCTION("""COMPUTED_VALUE"""),"开天行道肇纪立极大圣至神仁文义武俊德成功高皇帝")</f>
        <v>开天行道肇纪立极大圣至神仁文义武俊德成功高皇帝</v>
      </c>
      <c r="E288" s="1" t="str">
        <f>IFERROR(__xludf.DUMMYFUNCTION("""COMPUTED_VALUE"""),"明太祖")</f>
        <v>明太祖</v>
      </c>
      <c r="F288" s="1" t="str">
        <f>IFERROR(__xludf.DUMMYFUNCTION("""COMPUTED_VALUE"""),"朱元璋")</f>
        <v>朱元璋</v>
      </c>
      <c r="G288" s="1">
        <f>IFERROR(__xludf.DUMMYFUNCTION("""COMPUTED_VALUE"""),1368.0)</f>
        <v>1368</v>
      </c>
      <c r="H288" s="1">
        <f>IFERROR(__xludf.DUMMYFUNCTION("""COMPUTED_VALUE"""),1.0)</f>
        <v>1</v>
      </c>
      <c r="I288" s="1">
        <f>IFERROR(__xludf.DUMMYFUNCTION("""COMPUTED_VALUE"""),23.0)</f>
        <v>23</v>
      </c>
      <c r="J288" s="1">
        <f>IFERROR(__xludf.DUMMYFUNCTION("""COMPUTED_VALUE"""),1398.0)</f>
        <v>1398</v>
      </c>
      <c r="K288" s="1">
        <f>IFERROR(__xludf.DUMMYFUNCTION("""COMPUTED_VALUE"""),6.0)</f>
        <v>6</v>
      </c>
      <c r="L288" s="1">
        <f>IFERROR(__xludf.DUMMYFUNCTION("""COMPUTED_VALUE"""),24.0)</f>
        <v>24</v>
      </c>
      <c r="M288" s="1" t="str">
        <f>IFERROR(__xludf.DUMMYFUNCTION("""COMPUTED_VALUE"""),"30年152天")</f>
        <v>30年152天</v>
      </c>
      <c r="N288" s="1" t="str">
        <f>IFERROR(__xludf.DUMMYFUNCTION("""COMPUTED_VALUE"""),"创业")</f>
        <v>创业</v>
      </c>
      <c r="O288" s="1" t="str">
        <f>IFERROR(__xludf.DUMMYFUNCTION("""COMPUTED_VALUE"""),"-")</f>
        <v>-</v>
      </c>
    </row>
    <row r="289">
      <c r="A289" s="1" t="str">
        <f>IFERROR(__xludf.DUMMYFUNCTION("SPLIT(CSV!A:A,"","")"),"明朝")</f>
        <v>明朝</v>
      </c>
      <c r="B289" s="1">
        <f>IFERROR(__xludf.DUMMYFUNCTION("""COMPUTED_VALUE"""),2.0)</f>
        <v>2</v>
      </c>
      <c r="C289" s="1" t="str">
        <f>IFERROR(__xludf.DUMMYFUNCTION("""COMPUTED_VALUE"""),"惠宗")</f>
        <v>惠宗</v>
      </c>
      <c r="D289" s="1" t="str">
        <f>IFERROR(__xludf.DUMMYFUNCTION("""COMPUTED_VALUE"""),"嗣天章道诚懿渊功观文扬武克仁笃孝让皇帝")</f>
        <v>嗣天章道诚懿渊功观文扬武克仁笃孝让皇帝</v>
      </c>
      <c r="E289" s="1" t="str">
        <f>IFERROR(__xludf.DUMMYFUNCTION("""COMPUTED_VALUE"""),"明惠帝")</f>
        <v>明惠帝</v>
      </c>
      <c r="F289" s="1" t="str">
        <f>IFERROR(__xludf.DUMMYFUNCTION("""COMPUTED_VALUE"""),"朱允炆")</f>
        <v>朱允炆</v>
      </c>
      <c r="G289" s="1">
        <f>IFERROR(__xludf.DUMMYFUNCTION("""COMPUTED_VALUE"""),1398.0)</f>
        <v>1398</v>
      </c>
      <c r="H289" s="1">
        <f>IFERROR(__xludf.DUMMYFUNCTION("""COMPUTED_VALUE"""),6.0)</f>
        <v>6</v>
      </c>
      <c r="I289" s="1">
        <f>IFERROR(__xludf.DUMMYFUNCTION("""COMPUTED_VALUE"""),30.0)</f>
        <v>30</v>
      </c>
      <c r="J289" s="1">
        <f>IFERROR(__xludf.DUMMYFUNCTION("""COMPUTED_VALUE"""),1402.0)</f>
        <v>1402</v>
      </c>
      <c r="K289" s="1">
        <f>IFERROR(__xludf.DUMMYFUNCTION("""COMPUTED_VALUE"""),7.0)</f>
        <v>7</v>
      </c>
      <c r="L289" s="1">
        <f>IFERROR(__xludf.DUMMYFUNCTION("""COMPUTED_VALUE"""),13.0)</f>
        <v>13</v>
      </c>
      <c r="M289" s="1" t="str">
        <f>IFERROR(__xludf.DUMMYFUNCTION("""COMPUTED_VALUE"""),"4年13天")</f>
        <v>4年13天</v>
      </c>
      <c r="N289" s="1" t="str">
        <f>IFERROR(__xludf.DUMMYFUNCTION("""COMPUTED_VALUE"""),"继承")</f>
        <v>继承</v>
      </c>
      <c r="O289" s="1" t="str">
        <f>IFERROR(__xludf.DUMMYFUNCTION("""COMPUTED_VALUE"""),"朱元璋之孙")</f>
        <v>朱元璋之孙</v>
      </c>
    </row>
    <row r="290">
      <c r="A290" s="1" t="str">
        <f>IFERROR(__xludf.DUMMYFUNCTION("SPLIT(CSV!A:A,"","")"),"明朝")</f>
        <v>明朝</v>
      </c>
      <c r="B290" s="1">
        <f>IFERROR(__xludf.DUMMYFUNCTION("""COMPUTED_VALUE"""),3.0)</f>
        <v>3</v>
      </c>
      <c r="C290" s="1" t="str">
        <f>IFERROR(__xludf.DUMMYFUNCTION("""COMPUTED_VALUE"""),"成祖")</f>
        <v>成祖</v>
      </c>
      <c r="D290" s="1" t="str">
        <f>IFERROR(__xludf.DUMMYFUNCTION("""COMPUTED_VALUE"""),"启天弘道高明肇运圣武神功纯仁至孝文皇帝")</f>
        <v>启天弘道高明肇运圣武神功纯仁至孝文皇帝</v>
      </c>
      <c r="E290" s="1" t="str">
        <f>IFERROR(__xludf.DUMMYFUNCTION("""COMPUTED_VALUE"""),"明成祖")</f>
        <v>明成祖</v>
      </c>
      <c r="F290" s="1" t="str">
        <f>IFERROR(__xludf.DUMMYFUNCTION("""COMPUTED_VALUE"""),"朱棣")</f>
        <v>朱棣</v>
      </c>
      <c r="G290" s="1">
        <f>IFERROR(__xludf.DUMMYFUNCTION("""COMPUTED_VALUE"""),1402.0)</f>
        <v>1402</v>
      </c>
      <c r="H290" s="1">
        <f>IFERROR(__xludf.DUMMYFUNCTION("""COMPUTED_VALUE"""),7.0)</f>
        <v>7</v>
      </c>
      <c r="I290" s="1">
        <f>IFERROR(__xludf.DUMMYFUNCTION("""COMPUTED_VALUE"""),13.0)</f>
        <v>13</v>
      </c>
      <c r="J290" s="1">
        <f>IFERROR(__xludf.DUMMYFUNCTION("""COMPUTED_VALUE"""),1424.0)</f>
        <v>1424</v>
      </c>
      <c r="K290" s="1">
        <f>IFERROR(__xludf.DUMMYFUNCTION("""COMPUTED_VALUE"""),8.0)</f>
        <v>8</v>
      </c>
      <c r="L290" s="1">
        <f>IFERROR(__xludf.DUMMYFUNCTION("""COMPUTED_VALUE"""),12.0)</f>
        <v>12</v>
      </c>
      <c r="M290" s="1" t="str">
        <f>IFERROR(__xludf.DUMMYFUNCTION("""COMPUTED_VALUE"""),"22年30天")</f>
        <v>22年30天</v>
      </c>
      <c r="N290" s="1" t="str">
        <f>IFERROR(__xludf.DUMMYFUNCTION("""COMPUTED_VALUE"""),"政变")</f>
        <v>政变</v>
      </c>
      <c r="O290" s="1" t="str">
        <f>IFERROR(__xludf.DUMMYFUNCTION("""COMPUTED_VALUE"""),"朱元璋第四子")</f>
        <v>朱元璋第四子</v>
      </c>
    </row>
    <row r="291">
      <c r="A291" s="1" t="str">
        <f>IFERROR(__xludf.DUMMYFUNCTION("SPLIT(CSV!A:A,"","")"),"明朝")</f>
        <v>明朝</v>
      </c>
      <c r="B291" s="1">
        <f>IFERROR(__xludf.DUMMYFUNCTION("""COMPUTED_VALUE"""),4.0)</f>
        <v>4</v>
      </c>
      <c r="C291" s="1" t="str">
        <f>IFERROR(__xludf.DUMMYFUNCTION("""COMPUTED_VALUE"""),"仁宗")</f>
        <v>仁宗</v>
      </c>
      <c r="D291" s="1" t="str">
        <f>IFERROR(__xludf.DUMMYFUNCTION("""COMPUTED_VALUE"""),"敬天体道纯诚至德弘文钦武章圣达孝昭皇帝")</f>
        <v>敬天体道纯诚至德弘文钦武章圣达孝昭皇帝</v>
      </c>
      <c r="E291" s="1" t="str">
        <f>IFERROR(__xludf.DUMMYFUNCTION("""COMPUTED_VALUE"""),"明仁宗")</f>
        <v>明仁宗</v>
      </c>
      <c r="F291" s="1" t="str">
        <f>IFERROR(__xludf.DUMMYFUNCTION("""COMPUTED_VALUE"""),"朱高炽")</f>
        <v>朱高炽</v>
      </c>
      <c r="G291" s="1">
        <f>IFERROR(__xludf.DUMMYFUNCTION("""COMPUTED_VALUE"""),1424.0)</f>
        <v>1424</v>
      </c>
      <c r="H291" s="1">
        <f>IFERROR(__xludf.DUMMYFUNCTION("""COMPUTED_VALUE"""),8.0)</f>
        <v>8</v>
      </c>
      <c r="I291" s="1">
        <f>IFERROR(__xludf.DUMMYFUNCTION("""COMPUTED_VALUE"""),12.0)</f>
        <v>12</v>
      </c>
      <c r="J291" s="1">
        <f>IFERROR(__xludf.DUMMYFUNCTION("""COMPUTED_VALUE"""),1425.0)</f>
        <v>1425</v>
      </c>
      <c r="K291" s="1">
        <f>IFERROR(__xludf.DUMMYFUNCTION("""COMPUTED_VALUE"""),5.0)</f>
        <v>5</v>
      </c>
      <c r="L291" s="1">
        <f>IFERROR(__xludf.DUMMYFUNCTION("""COMPUTED_VALUE"""),29.0)</f>
        <v>29</v>
      </c>
      <c r="M291" s="1" t="str">
        <f>IFERROR(__xludf.DUMMYFUNCTION("""COMPUTED_VALUE"""),"290天")</f>
        <v>290天</v>
      </c>
      <c r="N291" s="1" t="str">
        <f>IFERROR(__xludf.DUMMYFUNCTION("""COMPUTED_VALUE"""),"继承")</f>
        <v>继承</v>
      </c>
      <c r="O291" s="1" t="str">
        <f>IFERROR(__xludf.DUMMYFUNCTION("""COMPUTED_VALUE"""),"朱棣长子")</f>
        <v>朱棣长子</v>
      </c>
    </row>
    <row r="292">
      <c r="A292" s="1" t="str">
        <f>IFERROR(__xludf.DUMMYFUNCTION("SPLIT(CSV!A:A,"","")"),"明朝")</f>
        <v>明朝</v>
      </c>
      <c r="B292" s="1">
        <f>IFERROR(__xludf.DUMMYFUNCTION("""COMPUTED_VALUE"""),5.0)</f>
        <v>5</v>
      </c>
      <c r="C292" s="1" t="str">
        <f>IFERROR(__xludf.DUMMYFUNCTION("""COMPUTED_VALUE"""),"宣宗")</f>
        <v>宣宗</v>
      </c>
      <c r="D292" s="1" t="str">
        <f>IFERROR(__xludf.DUMMYFUNCTION("""COMPUTED_VALUE"""),"宪天崇道英明神圣钦文昭武宽仁纯孝章皇帝")</f>
        <v>宪天崇道英明神圣钦文昭武宽仁纯孝章皇帝</v>
      </c>
      <c r="E292" s="1" t="str">
        <f>IFERROR(__xludf.DUMMYFUNCTION("""COMPUTED_VALUE"""),"明宣宗")</f>
        <v>明宣宗</v>
      </c>
      <c r="F292" s="1" t="str">
        <f>IFERROR(__xludf.DUMMYFUNCTION("""COMPUTED_VALUE"""),"朱瞻基")</f>
        <v>朱瞻基</v>
      </c>
      <c r="G292" s="1">
        <f>IFERROR(__xludf.DUMMYFUNCTION("""COMPUTED_VALUE"""),1425.0)</f>
        <v>1425</v>
      </c>
      <c r="H292" s="1">
        <f>IFERROR(__xludf.DUMMYFUNCTION("""COMPUTED_VALUE"""),5.0)</f>
        <v>5</v>
      </c>
      <c r="I292" s="1">
        <f>IFERROR(__xludf.DUMMYFUNCTION("""COMPUTED_VALUE"""),29.0)</f>
        <v>29</v>
      </c>
      <c r="J292" s="1">
        <f>IFERROR(__xludf.DUMMYFUNCTION("""COMPUTED_VALUE"""),1435.0)</f>
        <v>1435</v>
      </c>
      <c r="K292" s="1">
        <f>IFERROR(__xludf.DUMMYFUNCTION("""COMPUTED_VALUE"""),1.0)</f>
        <v>1</v>
      </c>
      <c r="L292" s="1">
        <f>IFERROR(__xludf.DUMMYFUNCTION("""COMPUTED_VALUE"""),31.0)</f>
        <v>31</v>
      </c>
      <c r="M292" s="1" t="str">
        <f>IFERROR(__xludf.DUMMYFUNCTION("""COMPUTED_VALUE"""),"9年247天")</f>
        <v>9年247天</v>
      </c>
      <c r="N292" s="1" t="str">
        <f>IFERROR(__xludf.DUMMYFUNCTION("""COMPUTED_VALUE"""),"继承")</f>
        <v>继承</v>
      </c>
      <c r="O292" s="1" t="str">
        <f>IFERROR(__xludf.DUMMYFUNCTION("""COMPUTED_VALUE"""),"朱高炽长子")</f>
        <v>朱高炽长子</v>
      </c>
    </row>
    <row r="293">
      <c r="A293" s="1" t="str">
        <f>IFERROR(__xludf.DUMMYFUNCTION("SPLIT(CSV!A:A,"","")"),"明朝")</f>
        <v>明朝</v>
      </c>
      <c r="B293" s="1">
        <f>IFERROR(__xludf.DUMMYFUNCTION("""COMPUTED_VALUE"""),6.0)</f>
        <v>6</v>
      </c>
      <c r="C293" s="1" t="str">
        <f>IFERROR(__xludf.DUMMYFUNCTION("""COMPUTED_VALUE"""),"英宗")</f>
        <v>英宗</v>
      </c>
      <c r="D293" s="1" t="str">
        <f>IFERROR(__xludf.DUMMYFUNCTION("""COMPUTED_VALUE"""),"法天立道仁明诚敬昭文宪武至德广孝睿皇帝")</f>
        <v>法天立道仁明诚敬昭文宪武至德广孝睿皇帝</v>
      </c>
      <c r="E293" s="1" t="str">
        <f>IFERROR(__xludf.DUMMYFUNCTION("""COMPUTED_VALUE"""),"明英宗")</f>
        <v>明英宗</v>
      </c>
      <c r="F293" s="1" t="str">
        <f>IFERROR(__xludf.DUMMYFUNCTION("""COMPUTED_VALUE"""),"朱祁镇")</f>
        <v>朱祁镇</v>
      </c>
      <c r="G293" s="1">
        <f>IFERROR(__xludf.DUMMYFUNCTION("""COMPUTED_VALUE"""),1435.0)</f>
        <v>1435</v>
      </c>
      <c r="H293" s="1">
        <f>IFERROR(__xludf.DUMMYFUNCTION("""COMPUTED_VALUE"""),1.0)</f>
        <v>1</v>
      </c>
      <c r="I293" s="1">
        <f>IFERROR(__xludf.DUMMYFUNCTION("""COMPUTED_VALUE"""),31.0)</f>
        <v>31</v>
      </c>
      <c r="J293" s="1">
        <f>IFERROR(__xludf.DUMMYFUNCTION("""COMPUTED_VALUE"""),1449.0)</f>
        <v>1449</v>
      </c>
      <c r="K293" s="1">
        <f>IFERROR(__xludf.DUMMYFUNCTION("""COMPUTED_VALUE"""),9.0)</f>
        <v>9</v>
      </c>
      <c r="L293" s="1">
        <f>IFERROR(__xludf.DUMMYFUNCTION("""COMPUTED_VALUE"""),1.0)</f>
        <v>1</v>
      </c>
      <c r="M293" s="1" t="str">
        <f>IFERROR(__xludf.DUMMYFUNCTION("""COMPUTED_VALUE"""),"14年213天")</f>
        <v>14年213天</v>
      </c>
      <c r="N293" s="1" t="str">
        <f>IFERROR(__xludf.DUMMYFUNCTION("""COMPUTED_VALUE"""),"继承")</f>
        <v>继承</v>
      </c>
      <c r="O293" s="1" t="str">
        <f>IFERROR(__xludf.DUMMYFUNCTION("""COMPUTED_VALUE"""),"朱瞻基长子")</f>
        <v>朱瞻基长子</v>
      </c>
    </row>
    <row r="294">
      <c r="A294" s="1" t="str">
        <f>IFERROR(__xludf.DUMMYFUNCTION("SPLIT(CSV!A:A,"","")"),"明朝")</f>
        <v>明朝</v>
      </c>
      <c r="B294" s="1">
        <f>IFERROR(__xludf.DUMMYFUNCTION("""COMPUTED_VALUE"""),7.0)</f>
        <v>7</v>
      </c>
      <c r="C294" s="1" t="str">
        <f>IFERROR(__xludf.DUMMYFUNCTION("""COMPUTED_VALUE"""),"代宗")</f>
        <v>代宗</v>
      </c>
      <c r="D294" s="1" t="str">
        <f>IFERROR(__xludf.DUMMYFUNCTION("""COMPUTED_VALUE"""),"符天建道恭仁康定隆文布武显德崇孝景皇帝")</f>
        <v>符天建道恭仁康定隆文布武显德崇孝景皇帝</v>
      </c>
      <c r="E294" s="1" t="str">
        <f>IFERROR(__xludf.DUMMYFUNCTION("""COMPUTED_VALUE"""),"明代宗")</f>
        <v>明代宗</v>
      </c>
      <c r="F294" s="1" t="str">
        <f>IFERROR(__xludf.DUMMYFUNCTION("""COMPUTED_VALUE"""),"朱祁钰")</f>
        <v>朱祁钰</v>
      </c>
      <c r="G294" s="1">
        <f>IFERROR(__xludf.DUMMYFUNCTION("""COMPUTED_VALUE"""),1449.0)</f>
        <v>1449</v>
      </c>
      <c r="H294" s="1">
        <f>IFERROR(__xludf.DUMMYFUNCTION("""COMPUTED_VALUE"""),9.0)</f>
        <v>9</v>
      </c>
      <c r="I294" s="1">
        <f>IFERROR(__xludf.DUMMYFUNCTION("""COMPUTED_VALUE"""),22.0)</f>
        <v>22</v>
      </c>
      <c r="J294" s="1">
        <f>IFERROR(__xludf.DUMMYFUNCTION("""COMPUTED_VALUE"""),1457.0)</f>
        <v>1457</v>
      </c>
      <c r="K294" s="1">
        <f>IFERROR(__xludf.DUMMYFUNCTION("""COMPUTED_VALUE"""),2.0)</f>
        <v>2</v>
      </c>
      <c r="L294" s="1">
        <f>IFERROR(__xludf.DUMMYFUNCTION("""COMPUTED_VALUE"""),11.0)</f>
        <v>11</v>
      </c>
      <c r="M294" s="1" t="str">
        <f>IFERROR(__xludf.DUMMYFUNCTION("""COMPUTED_VALUE"""),"7年142天")</f>
        <v>7年142天</v>
      </c>
      <c r="N294" s="1" t="str">
        <f>IFERROR(__xludf.DUMMYFUNCTION("""COMPUTED_VALUE"""),"政变")</f>
        <v>政变</v>
      </c>
      <c r="O294" s="1" t="str">
        <f>IFERROR(__xludf.DUMMYFUNCTION("""COMPUTED_VALUE"""),"朱瞻基次子")</f>
        <v>朱瞻基次子</v>
      </c>
    </row>
    <row r="295">
      <c r="A295" s="1" t="str">
        <f>IFERROR(__xludf.DUMMYFUNCTION("SPLIT(CSV!A:A,"","")"),"明朝")</f>
        <v>明朝</v>
      </c>
      <c r="B295" s="1">
        <f>IFERROR(__xludf.DUMMYFUNCTION("""COMPUTED_VALUE"""),8.0)</f>
        <v>8</v>
      </c>
      <c r="C295" s="1" t="str">
        <f>IFERROR(__xludf.DUMMYFUNCTION("""COMPUTED_VALUE"""),"英宗")</f>
        <v>英宗</v>
      </c>
      <c r="D295" s="1" t="str">
        <f>IFERROR(__xludf.DUMMYFUNCTION("""COMPUTED_VALUE"""),"法天立道仁明诚敬昭文宪武至德广孝睿皇帝")</f>
        <v>法天立道仁明诚敬昭文宪武至德广孝睿皇帝</v>
      </c>
      <c r="E295" s="1" t="str">
        <f>IFERROR(__xludf.DUMMYFUNCTION("""COMPUTED_VALUE"""),"明英宗")</f>
        <v>明英宗</v>
      </c>
      <c r="F295" s="1" t="str">
        <f>IFERROR(__xludf.DUMMYFUNCTION("""COMPUTED_VALUE"""),"朱祁镇")</f>
        <v>朱祁镇</v>
      </c>
      <c r="G295" s="1">
        <f>IFERROR(__xludf.DUMMYFUNCTION("""COMPUTED_VALUE"""),1457.0)</f>
        <v>1457</v>
      </c>
      <c r="H295" s="1">
        <f>IFERROR(__xludf.DUMMYFUNCTION("""COMPUTED_VALUE"""),2.0)</f>
        <v>2</v>
      </c>
      <c r="I295" s="1">
        <f>IFERROR(__xludf.DUMMYFUNCTION("""COMPUTED_VALUE"""),11.0)</f>
        <v>11</v>
      </c>
      <c r="J295" s="1">
        <f>IFERROR(__xludf.DUMMYFUNCTION("""COMPUTED_VALUE"""),1464.0)</f>
        <v>1464</v>
      </c>
      <c r="K295" s="1">
        <f>IFERROR(__xludf.DUMMYFUNCTION("""COMPUTED_VALUE"""),2.0)</f>
        <v>2</v>
      </c>
      <c r="L295" s="1">
        <f>IFERROR(__xludf.DUMMYFUNCTION("""COMPUTED_VALUE"""),23.0)</f>
        <v>23</v>
      </c>
      <c r="M295" s="1" t="str">
        <f>IFERROR(__xludf.DUMMYFUNCTION("""COMPUTED_VALUE"""),"7年12天")</f>
        <v>7年12天</v>
      </c>
      <c r="N295" s="1" t="str">
        <f>IFERROR(__xludf.DUMMYFUNCTION("""COMPUTED_VALUE"""),"复辟")</f>
        <v>复辟</v>
      </c>
      <c r="O295" s="1" t="str">
        <f>IFERROR(__xludf.DUMMYFUNCTION("""COMPUTED_VALUE"""),"第二次在位")</f>
        <v>第二次在位</v>
      </c>
    </row>
    <row r="296">
      <c r="A296" s="1" t="str">
        <f>IFERROR(__xludf.DUMMYFUNCTION("SPLIT(CSV!A:A,"","")"),"明朝")</f>
        <v>明朝</v>
      </c>
      <c r="B296" s="1">
        <f>IFERROR(__xludf.DUMMYFUNCTION("""COMPUTED_VALUE"""),9.0)</f>
        <v>9</v>
      </c>
      <c r="C296" s="1" t="str">
        <f>IFERROR(__xludf.DUMMYFUNCTION("""COMPUTED_VALUE"""),"宪宗")</f>
        <v>宪宗</v>
      </c>
      <c r="D296" s="1" t="str">
        <f>IFERROR(__xludf.DUMMYFUNCTION("""COMPUTED_VALUE"""),"继天凝道诚明仁敬崇文肃武宏德圣孝纯皇帝")</f>
        <v>继天凝道诚明仁敬崇文肃武宏德圣孝纯皇帝</v>
      </c>
      <c r="E296" s="1" t="str">
        <f>IFERROR(__xludf.DUMMYFUNCTION("""COMPUTED_VALUE"""),"明宪宗")</f>
        <v>明宪宗</v>
      </c>
      <c r="F296" s="1" t="str">
        <f>IFERROR(__xludf.DUMMYFUNCTION("""COMPUTED_VALUE"""),"朱见深")</f>
        <v>朱见深</v>
      </c>
      <c r="G296" s="1">
        <f>IFERROR(__xludf.DUMMYFUNCTION("""COMPUTED_VALUE"""),1464.0)</f>
        <v>1464</v>
      </c>
      <c r="H296" s="1">
        <f>IFERROR(__xludf.DUMMYFUNCTION("""COMPUTED_VALUE"""),2.0)</f>
        <v>2</v>
      </c>
      <c r="I296" s="1">
        <f>IFERROR(__xludf.DUMMYFUNCTION("""COMPUTED_VALUE"""),23.0)</f>
        <v>23</v>
      </c>
      <c r="J296" s="1">
        <f>IFERROR(__xludf.DUMMYFUNCTION("""COMPUTED_VALUE"""),1487.0)</f>
        <v>1487</v>
      </c>
      <c r="K296" s="1">
        <f>IFERROR(__xludf.DUMMYFUNCTION("""COMPUTED_VALUE"""),9.0)</f>
        <v>9</v>
      </c>
      <c r="L296" s="1">
        <f>IFERROR(__xludf.DUMMYFUNCTION("""COMPUTED_VALUE"""),9.0)</f>
        <v>9</v>
      </c>
      <c r="M296" s="1" t="str">
        <f>IFERROR(__xludf.DUMMYFUNCTION("""COMPUTED_VALUE"""),"23年198天")</f>
        <v>23年198天</v>
      </c>
      <c r="N296" s="1" t="str">
        <f>IFERROR(__xludf.DUMMYFUNCTION("""COMPUTED_VALUE"""),"继承")</f>
        <v>继承</v>
      </c>
      <c r="O296" s="1" t="str">
        <f>IFERROR(__xludf.DUMMYFUNCTION("""COMPUTED_VALUE"""),"朱祁镇长子")</f>
        <v>朱祁镇长子</v>
      </c>
    </row>
    <row r="297">
      <c r="A297" s="1" t="str">
        <f>IFERROR(__xludf.DUMMYFUNCTION("SPLIT(CSV!A:A,"","")"),"明朝")</f>
        <v>明朝</v>
      </c>
      <c r="B297" s="1">
        <f>IFERROR(__xludf.DUMMYFUNCTION("""COMPUTED_VALUE"""),10.0)</f>
        <v>10</v>
      </c>
      <c r="C297" s="1" t="str">
        <f>IFERROR(__xludf.DUMMYFUNCTION("""COMPUTED_VALUE"""),"孝宗")</f>
        <v>孝宗</v>
      </c>
      <c r="D297" s="1" t="str">
        <f>IFERROR(__xludf.DUMMYFUNCTION("""COMPUTED_VALUE"""),"达天明道纯诚中正圣文神武至仁大德敬皇帝")</f>
        <v>达天明道纯诚中正圣文神武至仁大德敬皇帝</v>
      </c>
      <c r="E297" s="1" t="str">
        <f>IFERROR(__xludf.DUMMYFUNCTION("""COMPUTED_VALUE"""),"明孝宗")</f>
        <v>明孝宗</v>
      </c>
      <c r="F297" s="1" t="str">
        <f>IFERROR(__xludf.DUMMYFUNCTION("""COMPUTED_VALUE"""),"朱祐樘")</f>
        <v>朱祐樘</v>
      </c>
      <c r="G297" s="1">
        <f>IFERROR(__xludf.DUMMYFUNCTION("""COMPUTED_VALUE"""),1487.0)</f>
        <v>1487</v>
      </c>
      <c r="H297" s="1">
        <f>IFERROR(__xludf.DUMMYFUNCTION("""COMPUTED_VALUE"""),9.0)</f>
        <v>9</v>
      </c>
      <c r="I297" s="1">
        <f>IFERROR(__xludf.DUMMYFUNCTION("""COMPUTED_VALUE"""),9.0)</f>
        <v>9</v>
      </c>
      <c r="J297" s="1">
        <f>IFERROR(__xludf.DUMMYFUNCTION("""COMPUTED_VALUE"""),1505.0)</f>
        <v>1505</v>
      </c>
      <c r="K297" s="1">
        <f>IFERROR(__xludf.DUMMYFUNCTION("""COMPUTED_VALUE"""),6.0)</f>
        <v>6</v>
      </c>
      <c r="L297" s="1">
        <f>IFERROR(__xludf.DUMMYFUNCTION("""COMPUTED_VALUE"""),8.0)</f>
        <v>8</v>
      </c>
      <c r="M297" s="1" t="str">
        <f>IFERROR(__xludf.DUMMYFUNCTION("""COMPUTED_VALUE"""),"17年272天")</f>
        <v>17年272天</v>
      </c>
      <c r="N297" s="1" t="str">
        <f>IFERROR(__xludf.DUMMYFUNCTION("""COMPUTED_VALUE"""),"继承")</f>
        <v>继承</v>
      </c>
      <c r="O297" s="1" t="str">
        <f>IFERROR(__xludf.DUMMYFUNCTION("""COMPUTED_VALUE"""),"朱见深第三子")</f>
        <v>朱见深第三子</v>
      </c>
    </row>
    <row r="298">
      <c r="A298" s="1" t="str">
        <f>IFERROR(__xludf.DUMMYFUNCTION("SPLIT(CSV!A:A,"","")"),"明朝")</f>
        <v>明朝</v>
      </c>
      <c r="B298" s="1">
        <f>IFERROR(__xludf.DUMMYFUNCTION("""COMPUTED_VALUE"""),11.0)</f>
        <v>11</v>
      </c>
      <c r="C298" s="1" t="str">
        <f>IFERROR(__xludf.DUMMYFUNCTION("""COMPUTED_VALUE"""),"武宗")</f>
        <v>武宗</v>
      </c>
      <c r="D298" s="1" t="str">
        <f>IFERROR(__xludf.DUMMYFUNCTION("""COMPUTED_VALUE"""),"承天达道英肃睿哲昭德显功弘文思孝毅皇帝")</f>
        <v>承天达道英肃睿哲昭德显功弘文思孝毅皇帝</v>
      </c>
      <c r="E298" s="1" t="str">
        <f>IFERROR(__xludf.DUMMYFUNCTION("""COMPUTED_VALUE"""),"明武宗")</f>
        <v>明武宗</v>
      </c>
      <c r="F298" s="1" t="str">
        <f>IFERROR(__xludf.DUMMYFUNCTION("""COMPUTED_VALUE"""),"朱厚照")</f>
        <v>朱厚照</v>
      </c>
      <c r="G298" s="1">
        <f>IFERROR(__xludf.DUMMYFUNCTION("""COMPUTED_VALUE"""),1505.0)</f>
        <v>1505</v>
      </c>
      <c r="H298" s="1">
        <f>IFERROR(__xludf.DUMMYFUNCTION("""COMPUTED_VALUE"""),6.0)</f>
        <v>6</v>
      </c>
      <c r="I298" s="1">
        <f>IFERROR(__xludf.DUMMYFUNCTION("""COMPUTED_VALUE"""),8.0)</f>
        <v>8</v>
      </c>
      <c r="J298" s="1">
        <f>IFERROR(__xludf.DUMMYFUNCTION("""COMPUTED_VALUE"""),1521.0)</f>
        <v>1521</v>
      </c>
      <c r="K298" s="1">
        <f>IFERROR(__xludf.DUMMYFUNCTION("""COMPUTED_VALUE"""),4.0)</f>
        <v>4</v>
      </c>
      <c r="L298" s="1">
        <f>IFERROR(__xludf.DUMMYFUNCTION("""COMPUTED_VALUE"""),20.0)</f>
        <v>20</v>
      </c>
      <c r="M298" s="1" t="str">
        <f>IFERROR(__xludf.DUMMYFUNCTION("""COMPUTED_VALUE"""),"15年316天")</f>
        <v>15年316天</v>
      </c>
      <c r="N298" s="1" t="str">
        <f>IFERROR(__xludf.DUMMYFUNCTION("""COMPUTED_VALUE"""),"继承")</f>
        <v>继承</v>
      </c>
      <c r="O298" s="1" t="str">
        <f>IFERROR(__xludf.DUMMYFUNCTION("""COMPUTED_VALUE"""),"朱祐樘长子")</f>
        <v>朱祐樘长子</v>
      </c>
    </row>
    <row r="299">
      <c r="A299" s="1" t="str">
        <f>IFERROR(__xludf.DUMMYFUNCTION("SPLIT(CSV!A:A,"","")"),"明朝")</f>
        <v>明朝</v>
      </c>
      <c r="B299" s="1">
        <f>IFERROR(__xludf.DUMMYFUNCTION("""COMPUTED_VALUE"""),12.0)</f>
        <v>12</v>
      </c>
      <c r="C299" s="1" t="str">
        <f>IFERROR(__xludf.DUMMYFUNCTION("""COMPUTED_VALUE"""),"世宗")</f>
        <v>世宗</v>
      </c>
      <c r="D299" s="1" t="str">
        <f>IFERROR(__xludf.DUMMYFUNCTION("""COMPUTED_VALUE"""),"钦天履道英毅神圣宣文广武洪仁大孝肃皇帝")</f>
        <v>钦天履道英毅神圣宣文广武洪仁大孝肃皇帝</v>
      </c>
      <c r="E299" s="1" t="str">
        <f>IFERROR(__xludf.DUMMYFUNCTION("""COMPUTED_VALUE"""),"明世宗")</f>
        <v>明世宗</v>
      </c>
      <c r="F299" s="1" t="str">
        <f>IFERROR(__xludf.DUMMYFUNCTION("""COMPUTED_VALUE"""),"朱厚熜")</f>
        <v>朱厚熜</v>
      </c>
      <c r="G299" s="1">
        <f>IFERROR(__xludf.DUMMYFUNCTION("""COMPUTED_VALUE"""),1521.0)</f>
        <v>1521</v>
      </c>
      <c r="H299" s="1">
        <f>IFERROR(__xludf.DUMMYFUNCTION("""COMPUTED_VALUE"""),4.0)</f>
        <v>4</v>
      </c>
      <c r="I299" s="1">
        <f>IFERROR(__xludf.DUMMYFUNCTION("""COMPUTED_VALUE"""),20.0)</f>
        <v>20</v>
      </c>
      <c r="J299" s="1">
        <f>IFERROR(__xludf.DUMMYFUNCTION("""COMPUTED_VALUE"""),1567.0)</f>
        <v>1567</v>
      </c>
      <c r="K299" s="1">
        <f>IFERROR(__xludf.DUMMYFUNCTION("""COMPUTED_VALUE"""),1.0)</f>
        <v>1</v>
      </c>
      <c r="L299" s="1">
        <f>IFERROR(__xludf.DUMMYFUNCTION("""COMPUTED_VALUE"""),23.0)</f>
        <v>23</v>
      </c>
      <c r="M299" s="1" t="str">
        <f>IFERROR(__xludf.DUMMYFUNCTION("""COMPUTED_VALUE"""),"45年278天")</f>
        <v>45年278天</v>
      </c>
      <c r="N299" s="1" t="str">
        <f>IFERROR(__xludf.DUMMYFUNCTION("""COMPUTED_VALUE"""),"继承")</f>
        <v>继承</v>
      </c>
      <c r="O299" s="1" t="str">
        <f>IFERROR(__xludf.DUMMYFUNCTION("""COMPUTED_VALUE"""),"朱祐樘之侄")</f>
        <v>朱祐樘之侄</v>
      </c>
    </row>
    <row r="300">
      <c r="A300" s="1" t="str">
        <f>IFERROR(__xludf.DUMMYFUNCTION("SPLIT(CSV!A:A,"","")"),"明朝")</f>
        <v>明朝</v>
      </c>
      <c r="B300" s="1">
        <f>IFERROR(__xludf.DUMMYFUNCTION("""COMPUTED_VALUE"""),13.0)</f>
        <v>13</v>
      </c>
      <c r="C300" s="1" t="str">
        <f>IFERROR(__xludf.DUMMYFUNCTION("""COMPUTED_VALUE"""),"穆宗")</f>
        <v>穆宗</v>
      </c>
      <c r="D300" s="1" t="str">
        <f>IFERROR(__xludf.DUMMYFUNCTION("""COMPUTED_VALUE"""),"契天隆道渊懿宽仁显文光武纯德弘孝庄皇帝")</f>
        <v>契天隆道渊懿宽仁显文光武纯德弘孝庄皇帝</v>
      </c>
      <c r="E300" s="1" t="str">
        <f>IFERROR(__xludf.DUMMYFUNCTION("""COMPUTED_VALUE"""),"明穆宗")</f>
        <v>明穆宗</v>
      </c>
      <c r="F300" s="1" t="str">
        <f>IFERROR(__xludf.DUMMYFUNCTION("""COMPUTED_VALUE"""),"朱载坖")</f>
        <v>朱载坖</v>
      </c>
      <c r="G300" s="1">
        <f>IFERROR(__xludf.DUMMYFUNCTION("""COMPUTED_VALUE"""),1567.0)</f>
        <v>1567</v>
      </c>
      <c r="H300" s="1">
        <f>IFERROR(__xludf.DUMMYFUNCTION("""COMPUTED_VALUE"""),1.0)</f>
        <v>1</v>
      </c>
      <c r="I300" s="1">
        <f>IFERROR(__xludf.DUMMYFUNCTION("""COMPUTED_VALUE"""),23.0)</f>
        <v>23</v>
      </c>
      <c r="J300" s="1">
        <f>IFERROR(__xludf.DUMMYFUNCTION("""COMPUTED_VALUE"""),1572.0)</f>
        <v>1572</v>
      </c>
      <c r="K300" s="1">
        <f>IFERROR(__xludf.DUMMYFUNCTION("""COMPUTED_VALUE"""),7.0)</f>
        <v>7</v>
      </c>
      <c r="L300" s="1">
        <f>IFERROR(__xludf.DUMMYFUNCTION("""COMPUTED_VALUE"""),5.0)</f>
        <v>5</v>
      </c>
      <c r="M300" s="1" t="str">
        <f>IFERROR(__xludf.DUMMYFUNCTION("""COMPUTED_VALUE"""),"5年163天")</f>
        <v>5年163天</v>
      </c>
      <c r="N300" s="1" t="str">
        <f>IFERROR(__xludf.DUMMYFUNCTION("""COMPUTED_VALUE"""),"继承")</f>
        <v>继承</v>
      </c>
      <c r="O300" s="1" t="str">
        <f>IFERROR(__xludf.DUMMYFUNCTION("""COMPUTED_VALUE"""),"朱厚熜第三子")</f>
        <v>朱厚熜第三子</v>
      </c>
    </row>
    <row r="301">
      <c r="A301" s="1" t="str">
        <f>IFERROR(__xludf.DUMMYFUNCTION("SPLIT(CSV!A:A,"","")"),"明朝")</f>
        <v>明朝</v>
      </c>
      <c r="B301" s="1">
        <f>IFERROR(__xludf.DUMMYFUNCTION("""COMPUTED_VALUE"""),14.0)</f>
        <v>14</v>
      </c>
      <c r="C301" s="1" t="str">
        <f>IFERROR(__xludf.DUMMYFUNCTION("""COMPUTED_VALUE"""),"神宗")</f>
        <v>神宗</v>
      </c>
      <c r="D301" s="1" t="str">
        <f>IFERROR(__xludf.DUMMYFUNCTION("""COMPUTED_VALUE"""),"范天合道哲肃敦简光文章武安仁止孝显皇帝")</f>
        <v>范天合道哲肃敦简光文章武安仁止孝显皇帝</v>
      </c>
      <c r="E301" s="1" t="str">
        <f>IFERROR(__xludf.DUMMYFUNCTION("""COMPUTED_VALUE"""),"明神宗")</f>
        <v>明神宗</v>
      </c>
      <c r="F301" s="1" t="str">
        <f>IFERROR(__xludf.DUMMYFUNCTION("""COMPUTED_VALUE"""),"朱翊钧")</f>
        <v>朱翊钧</v>
      </c>
      <c r="G301" s="1">
        <f>IFERROR(__xludf.DUMMYFUNCTION("""COMPUTED_VALUE"""),1572.0)</f>
        <v>1572</v>
      </c>
      <c r="H301" s="1">
        <f>IFERROR(__xludf.DUMMYFUNCTION("""COMPUTED_VALUE"""),7.0)</f>
        <v>7</v>
      </c>
      <c r="I301" s="1">
        <f>IFERROR(__xludf.DUMMYFUNCTION("""COMPUTED_VALUE"""),5.0)</f>
        <v>5</v>
      </c>
      <c r="J301" s="1">
        <f>IFERROR(__xludf.DUMMYFUNCTION("""COMPUTED_VALUE"""),1620.0)</f>
        <v>1620</v>
      </c>
      <c r="K301" s="1">
        <f>IFERROR(__xludf.DUMMYFUNCTION("""COMPUTED_VALUE"""),8.0)</f>
        <v>8</v>
      </c>
      <c r="L301" s="1">
        <f>IFERROR(__xludf.DUMMYFUNCTION("""COMPUTED_VALUE"""),18.0)</f>
        <v>18</v>
      </c>
      <c r="M301" s="1" t="str">
        <f>IFERROR(__xludf.DUMMYFUNCTION("""COMPUTED_VALUE"""),"48年44天")</f>
        <v>48年44天</v>
      </c>
      <c r="N301" s="1" t="str">
        <f>IFERROR(__xludf.DUMMYFUNCTION("""COMPUTED_VALUE"""),"继承")</f>
        <v>继承</v>
      </c>
      <c r="O301" s="1" t="str">
        <f>IFERROR(__xludf.DUMMYFUNCTION("""COMPUTED_VALUE"""),"朱载坖第三子")</f>
        <v>朱载坖第三子</v>
      </c>
    </row>
    <row r="302">
      <c r="A302" s="1" t="str">
        <f>IFERROR(__xludf.DUMMYFUNCTION("SPLIT(CSV!A:A,"","")"),"清朝")</f>
        <v>清朝</v>
      </c>
      <c r="B302" s="1">
        <f>IFERROR(__xludf.DUMMYFUNCTION("""COMPUTED_VALUE"""),1.0)</f>
        <v>1</v>
      </c>
      <c r="C302" s="1" t="str">
        <f>IFERROR(__xludf.DUMMYFUNCTION("""COMPUTED_VALUE"""),"太祖")</f>
        <v>太祖</v>
      </c>
      <c r="D302" s="1" t="str">
        <f>IFERROR(__xludf.DUMMYFUNCTION("""COMPUTED_VALUE"""),"承天广运圣德神功肇纪立极仁孝睿武端毅钦安弘文定业高皇帝")</f>
        <v>承天广运圣德神功肇纪立极仁孝睿武端毅钦安弘文定业高皇帝</v>
      </c>
      <c r="E302" s="1" t="str">
        <f>IFERROR(__xludf.DUMMYFUNCTION("""COMPUTED_VALUE"""),"清太祖")</f>
        <v>清太祖</v>
      </c>
      <c r="F302" s="1" t="str">
        <f>IFERROR(__xludf.DUMMYFUNCTION("""COMPUTED_VALUE"""),"努尔哈赤")</f>
        <v>努尔哈赤</v>
      </c>
      <c r="G302" s="1">
        <f>IFERROR(__xludf.DUMMYFUNCTION("""COMPUTED_VALUE"""),1616.0)</f>
        <v>1616</v>
      </c>
      <c r="H302" s="1">
        <f>IFERROR(__xludf.DUMMYFUNCTION("""COMPUTED_VALUE"""),2.0)</f>
        <v>2</v>
      </c>
      <c r="I302" s="1">
        <f>IFERROR(__xludf.DUMMYFUNCTION("""COMPUTED_VALUE"""),17.0)</f>
        <v>17</v>
      </c>
      <c r="J302" s="1">
        <f>IFERROR(__xludf.DUMMYFUNCTION("""COMPUTED_VALUE"""),1626.0)</f>
        <v>1626</v>
      </c>
      <c r="K302" s="1">
        <f>IFERROR(__xludf.DUMMYFUNCTION("""COMPUTED_VALUE"""),9.0)</f>
        <v>9</v>
      </c>
      <c r="L302" s="1">
        <f>IFERROR(__xludf.DUMMYFUNCTION("""COMPUTED_VALUE"""),30.0)</f>
        <v>30</v>
      </c>
      <c r="M302" s="1" t="str">
        <f>IFERROR(__xludf.DUMMYFUNCTION("""COMPUTED_VALUE"""),"10年225天")</f>
        <v>10年225天</v>
      </c>
      <c r="N302" s="1" t="str">
        <f>IFERROR(__xludf.DUMMYFUNCTION("""COMPUTED_VALUE"""),"创业")</f>
        <v>创业</v>
      </c>
      <c r="O302" s="1" t="str">
        <f>IFERROR(__xludf.DUMMYFUNCTION("""COMPUTED_VALUE"""),"后金大汗，追尊为帝")</f>
        <v>后金大汗，追尊为帝</v>
      </c>
    </row>
    <row r="303">
      <c r="A303" s="1" t="str">
        <f>IFERROR(__xludf.DUMMYFUNCTION("SPLIT(CSV!A:A,"","")"),"明朝")</f>
        <v>明朝</v>
      </c>
      <c r="B303" s="1">
        <f>IFERROR(__xludf.DUMMYFUNCTION("""COMPUTED_VALUE"""),15.0)</f>
        <v>15</v>
      </c>
      <c r="C303" s="1" t="str">
        <f>IFERROR(__xludf.DUMMYFUNCTION("""COMPUTED_VALUE"""),"光宗")</f>
        <v>光宗</v>
      </c>
      <c r="D303" s="1" t="str">
        <f>IFERROR(__xludf.DUMMYFUNCTION("""COMPUTED_VALUE"""),"崇天契道英睿恭纯宪文景武渊仁懿孝贞皇帝")</f>
        <v>崇天契道英睿恭纯宪文景武渊仁懿孝贞皇帝</v>
      </c>
      <c r="E303" s="1" t="str">
        <f>IFERROR(__xludf.DUMMYFUNCTION("""COMPUTED_VALUE"""),"明光宗")</f>
        <v>明光宗</v>
      </c>
      <c r="F303" s="1" t="str">
        <f>IFERROR(__xludf.DUMMYFUNCTION("""COMPUTED_VALUE"""),"朱常洛")</f>
        <v>朱常洛</v>
      </c>
      <c r="G303" s="1">
        <f>IFERROR(__xludf.DUMMYFUNCTION("""COMPUTED_VALUE"""),1620.0)</f>
        <v>1620</v>
      </c>
      <c r="H303" s="1">
        <f>IFERROR(__xludf.DUMMYFUNCTION("""COMPUTED_VALUE"""),8.0)</f>
        <v>8</v>
      </c>
      <c r="I303" s="1">
        <f>IFERROR(__xludf.DUMMYFUNCTION("""COMPUTED_VALUE"""),28.0)</f>
        <v>28</v>
      </c>
      <c r="J303" s="1">
        <f>IFERROR(__xludf.DUMMYFUNCTION("""COMPUTED_VALUE"""),1620.0)</f>
        <v>1620</v>
      </c>
      <c r="K303" s="1">
        <f>IFERROR(__xludf.DUMMYFUNCTION("""COMPUTED_VALUE"""),9.0)</f>
        <v>9</v>
      </c>
      <c r="L303" s="1">
        <f>IFERROR(__xludf.DUMMYFUNCTION("""COMPUTED_VALUE"""),26.0)</f>
        <v>26</v>
      </c>
      <c r="M303" s="1" t="str">
        <f>IFERROR(__xludf.DUMMYFUNCTION("""COMPUTED_VALUE"""),"29天")</f>
        <v>29天</v>
      </c>
      <c r="N303" s="1" t="str">
        <f>IFERROR(__xludf.DUMMYFUNCTION("""COMPUTED_VALUE"""),"继承")</f>
        <v>继承</v>
      </c>
      <c r="O303" s="1" t="str">
        <f>IFERROR(__xludf.DUMMYFUNCTION("""COMPUTED_VALUE"""),"朱翊钧长子")</f>
        <v>朱翊钧长子</v>
      </c>
    </row>
    <row r="304">
      <c r="A304" s="1" t="str">
        <f>IFERROR(__xludf.DUMMYFUNCTION("SPLIT(CSV!A:A,"","")"),"明朝")</f>
        <v>明朝</v>
      </c>
      <c r="B304" s="1">
        <f>IFERROR(__xludf.DUMMYFUNCTION("""COMPUTED_VALUE"""),16.0)</f>
        <v>16</v>
      </c>
      <c r="C304" s="1" t="str">
        <f>IFERROR(__xludf.DUMMYFUNCTION("""COMPUTED_VALUE"""),"熹宗")</f>
        <v>熹宗</v>
      </c>
      <c r="D304" s="1" t="str">
        <f>IFERROR(__xludf.DUMMYFUNCTION("""COMPUTED_VALUE"""),"达天阐道敦孝笃友章文襄武靖穆庄勤悊皇帝")</f>
        <v>达天阐道敦孝笃友章文襄武靖穆庄勤悊皇帝</v>
      </c>
      <c r="E304" s="1" t="str">
        <f>IFERROR(__xludf.DUMMYFUNCTION("""COMPUTED_VALUE"""),"明熹宗")</f>
        <v>明熹宗</v>
      </c>
      <c r="F304" s="1" t="str">
        <f>IFERROR(__xludf.DUMMYFUNCTION("""COMPUTED_VALUE"""),"朱由校")</f>
        <v>朱由校</v>
      </c>
      <c r="G304" s="1">
        <f>IFERROR(__xludf.DUMMYFUNCTION("""COMPUTED_VALUE"""),1620.0)</f>
        <v>1620</v>
      </c>
      <c r="H304" s="1">
        <f>IFERROR(__xludf.DUMMYFUNCTION("""COMPUTED_VALUE"""),10.0)</f>
        <v>10</v>
      </c>
      <c r="I304" s="1">
        <f>IFERROR(__xludf.DUMMYFUNCTION("""COMPUTED_VALUE"""),1.0)</f>
        <v>1</v>
      </c>
      <c r="J304" s="1">
        <f>IFERROR(__xludf.DUMMYFUNCTION("""COMPUTED_VALUE"""),1627.0)</f>
        <v>1627</v>
      </c>
      <c r="K304" s="1">
        <f>IFERROR(__xludf.DUMMYFUNCTION("""COMPUTED_VALUE"""),9.0)</f>
        <v>9</v>
      </c>
      <c r="L304" s="1">
        <f>IFERROR(__xludf.DUMMYFUNCTION("""COMPUTED_VALUE"""),30.0)</f>
        <v>30</v>
      </c>
      <c r="M304" s="1" t="str">
        <f>IFERROR(__xludf.DUMMYFUNCTION("""COMPUTED_VALUE"""),"6年364天")</f>
        <v>6年364天</v>
      </c>
      <c r="N304" s="1" t="str">
        <f>IFERROR(__xludf.DUMMYFUNCTION("""COMPUTED_VALUE"""),"继承")</f>
        <v>继承</v>
      </c>
      <c r="O304" s="1" t="str">
        <f>IFERROR(__xludf.DUMMYFUNCTION("""COMPUTED_VALUE"""),"朱常洛长子")</f>
        <v>朱常洛长子</v>
      </c>
    </row>
    <row r="305">
      <c r="A305" s="1" t="str">
        <f>IFERROR(__xludf.DUMMYFUNCTION("SPLIT(CSV!A:A,"","")"),"清朝")</f>
        <v>清朝</v>
      </c>
      <c r="B305" s="1">
        <f>IFERROR(__xludf.DUMMYFUNCTION("""COMPUTED_VALUE"""),2.0)</f>
        <v>2</v>
      </c>
      <c r="C305" s="1" t="str">
        <f>IFERROR(__xludf.DUMMYFUNCTION("""COMPUTED_VALUE"""),"太宗")</f>
        <v>太宗</v>
      </c>
      <c r="D305" s="1" t="str">
        <f>IFERROR(__xludf.DUMMYFUNCTION("""COMPUTED_VALUE"""),"应天兴国弘德彰武宽温仁圣睿孝敬敏昭定隆道显功文皇帝")</f>
        <v>应天兴国弘德彰武宽温仁圣睿孝敬敏昭定隆道显功文皇帝</v>
      </c>
      <c r="E305" s="1" t="str">
        <f>IFERROR(__xludf.DUMMYFUNCTION("""COMPUTED_VALUE"""),"清太宗")</f>
        <v>清太宗</v>
      </c>
      <c r="F305" s="1" t="str">
        <f>IFERROR(__xludf.DUMMYFUNCTION("""COMPUTED_VALUE"""),"皇太极")</f>
        <v>皇太极</v>
      </c>
      <c r="G305" s="1">
        <f>IFERROR(__xludf.DUMMYFUNCTION("""COMPUTED_VALUE"""),1626.0)</f>
        <v>1626</v>
      </c>
      <c r="H305" s="1">
        <f>IFERROR(__xludf.DUMMYFUNCTION("""COMPUTED_VALUE"""),10.0)</f>
        <v>10</v>
      </c>
      <c r="I305" s="1">
        <f>IFERROR(__xludf.DUMMYFUNCTION("""COMPUTED_VALUE"""),20.0)</f>
        <v>20</v>
      </c>
      <c r="J305" s="1">
        <f>IFERROR(__xludf.DUMMYFUNCTION("""COMPUTED_VALUE"""),1643.0)</f>
        <v>1643</v>
      </c>
      <c r="K305" s="1">
        <f>IFERROR(__xludf.DUMMYFUNCTION("""COMPUTED_VALUE"""),9.0)</f>
        <v>9</v>
      </c>
      <c r="L305" s="1">
        <f>IFERROR(__xludf.DUMMYFUNCTION("""COMPUTED_VALUE"""),21.0)</f>
        <v>21</v>
      </c>
      <c r="M305" s="1" t="str">
        <f>IFERROR(__xludf.DUMMYFUNCTION("""COMPUTED_VALUE"""),"16年336天")</f>
        <v>16年336天</v>
      </c>
      <c r="N305" s="1" t="str">
        <f>IFERROR(__xludf.DUMMYFUNCTION("""COMPUTED_VALUE"""),"继承")</f>
        <v>继承</v>
      </c>
      <c r="O305" s="1" t="str">
        <f>IFERROR(__xludf.DUMMYFUNCTION("""COMPUTED_VALUE"""),"努尔哈赤第八子")</f>
        <v>努尔哈赤第八子</v>
      </c>
    </row>
    <row r="306">
      <c r="A306" s="1" t="str">
        <f>IFERROR(__xludf.DUMMYFUNCTION("SPLIT(CSV!A:A,"","")"),"明朝")</f>
        <v>明朝</v>
      </c>
      <c r="B306" s="1">
        <f>IFERROR(__xludf.DUMMYFUNCTION("""COMPUTED_VALUE"""),17.0)</f>
        <v>17</v>
      </c>
      <c r="C306" s="1" t="str">
        <f>IFERROR(__xludf.DUMMYFUNCTION("""COMPUTED_VALUE"""),"思宗")</f>
        <v>思宗</v>
      </c>
      <c r="D306" s="1" t="str">
        <f>IFERROR(__xludf.DUMMYFUNCTION("""COMPUTED_VALUE"""),"绍天绎道刚明恪俭揆文奋武敦仁懋孝烈皇帝")</f>
        <v>绍天绎道刚明恪俭揆文奋武敦仁懋孝烈皇帝</v>
      </c>
      <c r="E306" s="1" t="str">
        <f>IFERROR(__xludf.DUMMYFUNCTION("""COMPUTED_VALUE"""),"明思宗")</f>
        <v>明思宗</v>
      </c>
      <c r="F306" s="1" t="str">
        <f>IFERROR(__xludf.DUMMYFUNCTION("""COMPUTED_VALUE"""),"朱由检")</f>
        <v>朱由检</v>
      </c>
      <c r="G306" s="1">
        <f>IFERROR(__xludf.DUMMYFUNCTION("""COMPUTED_VALUE"""),1627.0)</f>
        <v>1627</v>
      </c>
      <c r="H306" s="1">
        <f>IFERROR(__xludf.DUMMYFUNCTION("""COMPUTED_VALUE"""),10.0)</f>
        <v>10</v>
      </c>
      <c r="I306" s="1">
        <f>IFERROR(__xludf.DUMMYFUNCTION("""COMPUTED_VALUE"""),2.0)</f>
        <v>2</v>
      </c>
      <c r="J306" s="1">
        <f>IFERROR(__xludf.DUMMYFUNCTION("""COMPUTED_VALUE"""),1644.0)</f>
        <v>1644</v>
      </c>
      <c r="K306" s="1">
        <f>IFERROR(__xludf.DUMMYFUNCTION("""COMPUTED_VALUE"""),4.0)</f>
        <v>4</v>
      </c>
      <c r="L306" s="1">
        <f>IFERROR(__xludf.DUMMYFUNCTION("""COMPUTED_VALUE"""),25.0)</f>
        <v>25</v>
      </c>
      <c r="M306" s="1" t="str">
        <f>IFERROR(__xludf.DUMMYFUNCTION("""COMPUTED_VALUE"""),"16年206天")</f>
        <v>16年206天</v>
      </c>
      <c r="N306" s="1" t="str">
        <f>IFERROR(__xludf.DUMMYFUNCTION("""COMPUTED_VALUE"""),"继承")</f>
        <v>继承</v>
      </c>
      <c r="O306" s="1" t="str">
        <f>IFERROR(__xludf.DUMMYFUNCTION("""COMPUTED_VALUE"""),"朱常洛第五子")</f>
        <v>朱常洛第五子</v>
      </c>
    </row>
    <row r="307">
      <c r="A307" s="1" t="str">
        <f>IFERROR(__xludf.DUMMYFUNCTION("SPLIT(CSV!A:A,"","")"),"清朝")</f>
        <v>清朝</v>
      </c>
      <c r="B307" s="1">
        <f>IFERROR(__xludf.DUMMYFUNCTION("""COMPUTED_VALUE"""),3.0)</f>
        <v>3</v>
      </c>
      <c r="C307" s="1" t="str">
        <f>IFERROR(__xludf.DUMMYFUNCTION("""COMPUTED_VALUE"""),"世祖")</f>
        <v>世祖</v>
      </c>
      <c r="D307" s="1" t="str">
        <f>IFERROR(__xludf.DUMMYFUNCTION("""COMPUTED_VALUE"""),"体天隆运定统建极英睿钦文显武大德弘功至仁纯孝章皇帝")</f>
        <v>体天隆运定统建极英睿钦文显武大德弘功至仁纯孝章皇帝</v>
      </c>
      <c r="E307" s="1" t="str">
        <f>IFERROR(__xludf.DUMMYFUNCTION("""COMPUTED_VALUE"""),"清世祖")</f>
        <v>清世祖</v>
      </c>
      <c r="F307" s="1" t="str">
        <f>IFERROR(__xludf.DUMMYFUNCTION("""COMPUTED_VALUE"""),"福临")</f>
        <v>福临</v>
      </c>
      <c r="G307" s="1">
        <f>IFERROR(__xludf.DUMMYFUNCTION("""COMPUTED_VALUE"""),1643.0)</f>
        <v>1643</v>
      </c>
      <c r="H307" s="1">
        <f>IFERROR(__xludf.DUMMYFUNCTION("""COMPUTED_VALUE"""),10.0)</f>
        <v>10</v>
      </c>
      <c r="I307" s="1">
        <f>IFERROR(__xludf.DUMMYFUNCTION("""COMPUTED_VALUE"""),8.0)</f>
        <v>8</v>
      </c>
      <c r="J307" s="1">
        <f>IFERROR(__xludf.DUMMYFUNCTION("""COMPUTED_VALUE"""),1661.0)</f>
        <v>1661</v>
      </c>
      <c r="K307" s="1">
        <f>IFERROR(__xludf.DUMMYFUNCTION("""COMPUTED_VALUE"""),2.0)</f>
        <v>2</v>
      </c>
      <c r="L307" s="1">
        <f>IFERROR(__xludf.DUMMYFUNCTION("""COMPUTED_VALUE"""),5.0)</f>
        <v>5</v>
      </c>
      <c r="M307" s="1" t="str">
        <f>IFERROR(__xludf.DUMMYFUNCTION("""COMPUTED_VALUE"""),"17年120天")</f>
        <v>17年120天</v>
      </c>
      <c r="N307" s="1" t="str">
        <f>IFERROR(__xludf.DUMMYFUNCTION("""COMPUTED_VALUE"""),"继承")</f>
        <v>继承</v>
      </c>
      <c r="O307" s="1" t="str">
        <f>IFERROR(__xludf.DUMMYFUNCTION("""COMPUTED_VALUE"""),"皇太极第九子")</f>
        <v>皇太极第九子</v>
      </c>
    </row>
    <row r="308">
      <c r="A308" s="1" t="str">
        <f>IFERROR(__xludf.DUMMYFUNCTION("SPLIT(CSV!A:A,"","")"),"清朝")</f>
        <v>清朝</v>
      </c>
      <c r="B308" s="1">
        <f>IFERROR(__xludf.DUMMYFUNCTION("""COMPUTED_VALUE"""),4.0)</f>
        <v>4</v>
      </c>
      <c r="C308" s="1" t="str">
        <f>IFERROR(__xludf.DUMMYFUNCTION("""COMPUTED_VALUE"""),"圣祖")</f>
        <v>圣祖</v>
      </c>
      <c r="D308" s="1" t="str">
        <f>IFERROR(__xludf.DUMMYFUNCTION("""COMPUTED_VALUE"""),"合天弘运文武睿哲恭俭宽裕孝敬诚信中和功德大成仁皇帝")</f>
        <v>合天弘运文武睿哲恭俭宽裕孝敬诚信中和功德大成仁皇帝</v>
      </c>
      <c r="E308" s="1" t="str">
        <f>IFERROR(__xludf.DUMMYFUNCTION("""COMPUTED_VALUE"""),"清圣祖")</f>
        <v>清圣祖</v>
      </c>
      <c r="F308" s="1" t="str">
        <f>IFERROR(__xludf.DUMMYFUNCTION("""COMPUTED_VALUE"""),"玄烨")</f>
        <v>玄烨</v>
      </c>
      <c r="G308" s="1">
        <f>IFERROR(__xludf.DUMMYFUNCTION("""COMPUTED_VALUE"""),1661.0)</f>
        <v>1661</v>
      </c>
      <c r="H308" s="1">
        <f>IFERROR(__xludf.DUMMYFUNCTION("""COMPUTED_VALUE"""),2.0)</f>
        <v>2</v>
      </c>
      <c r="I308" s="1">
        <f>IFERROR(__xludf.DUMMYFUNCTION("""COMPUTED_VALUE"""),7.0)</f>
        <v>7</v>
      </c>
      <c r="J308" s="1">
        <f>IFERROR(__xludf.DUMMYFUNCTION("""COMPUTED_VALUE"""),1722.0)</f>
        <v>1722</v>
      </c>
      <c r="K308" s="1">
        <f>IFERROR(__xludf.DUMMYFUNCTION("""COMPUTED_VALUE"""),12.0)</f>
        <v>12</v>
      </c>
      <c r="L308" s="1">
        <f>IFERROR(__xludf.DUMMYFUNCTION("""COMPUTED_VALUE"""),20.0)</f>
        <v>20</v>
      </c>
      <c r="M308" s="1" t="str">
        <f>IFERROR(__xludf.DUMMYFUNCTION("""COMPUTED_VALUE"""),"61年316天")</f>
        <v>61年316天</v>
      </c>
      <c r="N308" s="1" t="str">
        <f>IFERROR(__xludf.DUMMYFUNCTION("""COMPUTED_VALUE"""),"继承")</f>
        <v>继承</v>
      </c>
      <c r="O308" s="1" t="str">
        <f>IFERROR(__xludf.DUMMYFUNCTION("""COMPUTED_VALUE"""),"福临第三子")</f>
        <v>福临第三子</v>
      </c>
    </row>
    <row r="309">
      <c r="A309" s="1" t="str">
        <f>IFERROR(__xludf.DUMMYFUNCTION("SPLIT(CSV!A:A,"","")"),"清朝")</f>
        <v>清朝</v>
      </c>
      <c r="B309" s="1">
        <f>IFERROR(__xludf.DUMMYFUNCTION("""COMPUTED_VALUE"""),5.0)</f>
        <v>5</v>
      </c>
      <c r="C309" s="1" t="str">
        <f>IFERROR(__xludf.DUMMYFUNCTION("""COMPUTED_VALUE"""),"世宗")</f>
        <v>世宗</v>
      </c>
      <c r="D309" s="1" t="str">
        <f>IFERROR(__xludf.DUMMYFUNCTION("""COMPUTED_VALUE"""),"敬天昌运建中表正文武英明宽仁信毅睿圣大孝至诚宪皇帝")</f>
        <v>敬天昌运建中表正文武英明宽仁信毅睿圣大孝至诚宪皇帝</v>
      </c>
      <c r="E309" s="1" t="str">
        <f>IFERROR(__xludf.DUMMYFUNCTION("""COMPUTED_VALUE"""),"清世宗")</f>
        <v>清世宗</v>
      </c>
      <c r="F309" s="1" t="str">
        <f>IFERROR(__xludf.DUMMYFUNCTION("""COMPUTED_VALUE"""),"胤禛")</f>
        <v>胤禛</v>
      </c>
      <c r="G309" s="1">
        <f>IFERROR(__xludf.DUMMYFUNCTION("""COMPUTED_VALUE"""),1722.0)</f>
        <v>1722</v>
      </c>
      <c r="H309" s="1">
        <f>IFERROR(__xludf.DUMMYFUNCTION("""COMPUTED_VALUE"""),12.0)</f>
        <v>12</v>
      </c>
      <c r="I309" s="1">
        <f>IFERROR(__xludf.DUMMYFUNCTION("""COMPUTED_VALUE"""),27.0)</f>
        <v>27</v>
      </c>
      <c r="J309" s="1">
        <f>IFERROR(__xludf.DUMMYFUNCTION("""COMPUTED_VALUE"""),1735.0)</f>
        <v>1735</v>
      </c>
      <c r="K309" s="1">
        <f>IFERROR(__xludf.DUMMYFUNCTION("""COMPUTED_VALUE"""),10.0)</f>
        <v>10</v>
      </c>
      <c r="L309" s="1">
        <f>IFERROR(__xludf.DUMMYFUNCTION("""COMPUTED_VALUE"""),8.0)</f>
        <v>8</v>
      </c>
      <c r="M309" s="1" t="str">
        <f>IFERROR(__xludf.DUMMYFUNCTION("""COMPUTED_VALUE"""),"12年285天")</f>
        <v>12年285天</v>
      </c>
      <c r="N309" s="1" t="str">
        <f>IFERROR(__xludf.DUMMYFUNCTION("""COMPUTED_VALUE"""),"继承")</f>
        <v>继承</v>
      </c>
      <c r="O309" s="1" t="str">
        <f>IFERROR(__xludf.DUMMYFUNCTION("""COMPUTED_VALUE"""),"玄烨第四子")</f>
        <v>玄烨第四子</v>
      </c>
    </row>
    <row r="310">
      <c r="A310" s="1" t="str">
        <f>IFERROR(__xludf.DUMMYFUNCTION("SPLIT(CSV!A:A,"","")"),"清朝")</f>
        <v>清朝</v>
      </c>
      <c r="B310" s="1">
        <f>IFERROR(__xludf.DUMMYFUNCTION("""COMPUTED_VALUE"""),6.0)</f>
        <v>6</v>
      </c>
      <c r="C310" s="1" t="str">
        <f>IFERROR(__xludf.DUMMYFUNCTION("""COMPUTED_VALUE"""),"高宗")</f>
        <v>高宗</v>
      </c>
      <c r="D310" s="1" t="str">
        <f>IFERROR(__xludf.DUMMYFUNCTION("""COMPUTED_VALUE"""),"法天隆运至诚先觉体元立极敷文奋武钦明孝慈神圣纯皇帝")</f>
        <v>法天隆运至诚先觉体元立极敷文奋武钦明孝慈神圣纯皇帝</v>
      </c>
      <c r="E310" s="1" t="str">
        <f>IFERROR(__xludf.DUMMYFUNCTION("""COMPUTED_VALUE"""),"清高宗")</f>
        <v>清高宗</v>
      </c>
      <c r="F310" s="1" t="str">
        <f>IFERROR(__xludf.DUMMYFUNCTION("""COMPUTED_VALUE"""),"弘历")</f>
        <v>弘历</v>
      </c>
      <c r="G310" s="1">
        <f>IFERROR(__xludf.DUMMYFUNCTION("""COMPUTED_VALUE"""),1735.0)</f>
        <v>1735</v>
      </c>
      <c r="H310" s="1">
        <f>IFERROR(__xludf.DUMMYFUNCTION("""COMPUTED_VALUE"""),10.0)</f>
        <v>10</v>
      </c>
      <c r="I310" s="1">
        <f>IFERROR(__xludf.DUMMYFUNCTION("""COMPUTED_VALUE"""),18.0)</f>
        <v>18</v>
      </c>
      <c r="J310" s="1">
        <f>IFERROR(__xludf.DUMMYFUNCTION("""COMPUTED_VALUE"""),1796.0)</f>
        <v>1796</v>
      </c>
      <c r="K310" s="1">
        <f>IFERROR(__xludf.DUMMYFUNCTION("""COMPUTED_VALUE"""),2.0)</f>
        <v>2</v>
      </c>
      <c r="L310" s="1">
        <f>IFERROR(__xludf.DUMMYFUNCTION("""COMPUTED_VALUE"""),9.0)</f>
        <v>9</v>
      </c>
      <c r="M310" s="1" t="str">
        <f>IFERROR(__xludf.DUMMYFUNCTION("""COMPUTED_VALUE"""),"60年115天")</f>
        <v>60年115天</v>
      </c>
      <c r="N310" s="1" t="str">
        <f>IFERROR(__xludf.DUMMYFUNCTION("""COMPUTED_VALUE"""),"继承")</f>
        <v>继承</v>
      </c>
      <c r="O310" s="1" t="str">
        <f>IFERROR(__xludf.DUMMYFUNCTION("""COMPUTED_VALUE"""),"胤禛第四子")</f>
        <v>胤禛第四子</v>
      </c>
    </row>
    <row r="311">
      <c r="A311" s="1" t="str">
        <f>IFERROR(__xludf.DUMMYFUNCTION("SPLIT(CSV!A:A,"","")"),"清朝")</f>
        <v>清朝</v>
      </c>
      <c r="B311" s="1">
        <f>IFERROR(__xludf.DUMMYFUNCTION("""COMPUTED_VALUE"""),7.0)</f>
        <v>7</v>
      </c>
      <c r="C311" s="1" t="str">
        <f>IFERROR(__xludf.DUMMYFUNCTION("""COMPUTED_VALUE"""),"仁宗")</f>
        <v>仁宗</v>
      </c>
      <c r="D311" s="1" t="str">
        <f>IFERROR(__xludf.DUMMYFUNCTION("""COMPUTED_VALUE"""),"受天兴运敷化绥猷崇文经武光裕孝恭勤俭端敏英哲睿皇帝")</f>
        <v>受天兴运敷化绥猷崇文经武光裕孝恭勤俭端敏英哲睿皇帝</v>
      </c>
      <c r="E311" s="1" t="str">
        <f>IFERROR(__xludf.DUMMYFUNCTION("""COMPUTED_VALUE"""),"清仁宗")</f>
        <v>清仁宗</v>
      </c>
      <c r="F311" s="1" t="str">
        <f>IFERROR(__xludf.DUMMYFUNCTION("""COMPUTED_VALUE"""),"颙琰")</f>
        <v>颙琰</v>
      </c>
      <c r="G311" s="1">
        <f>IFERROR(__xludf.DUMMYFUNCTION("""COMPUTED_VALUE"""),1796.0)</f>
        <v>1796</v>
      </c>
      <c r="H311" s="1">
        <f>IFERROR(__xludf.DUMMYFUNCTION("""COMPUTED_VALUE"""),2.0)</f>
        <v>2</v>
      </c>
      <c r="I311" s="1">
        <f>IFERROR(__xludf.DUMMYFUNCTION("""COMPUTED_VALUE"""),9.0)</f>
        <v>9</v>
      </c>
      <c r="J311" s="1">
        <f>IFERROR(__xludf.DUMMYFUNCTION("""COMPUTED_VALUE"""),1820.0)</f>
        <v>1820</v>
      </c>
      <c r="K311" s="1">
        <f>IFERROR(__xludf.DUMMYFUNCTION("""COMPUTED_VALUE"""),9.0)</f>
        <v>9</v>
      </c>
      <c r="L311" s="1">
        <f>IFERROR(__xludf.DUMMYFUNCTION("""COMPUTED_VALUE"""),2.0)</f>
        <v>2</v>
      </c>
      <c r="M311" s="1" t="str">
        <f>IFERROR(__xludf.DUMMYFUNCTION("""COMPUTED_VALUE"""),"24年206天")</f>
        <v>24年206天</v>
      </c>
      <c r="N311" s="1" t="str">
        <f>IFERROR(__xludf.DUMMYFUNCTION("""COMPUTED_VALUE"""),"受禅")</f>
        <v>受禅</v>
      </c>
      <c r="O311" s="1" t="str">
        <f>IFERROR(__xludf.DUMMYFUNCTION("""COMPUTED_VALUE"""),"弘历第十五子")</f>
        <v>弘历第十五子</v>
      </c>
    </row>
    <row r="312">
      <c r="A312" s="1" t="str">
        <f>IFERROR(__xludf.DUMMYFUNCTION("SPLIT(CSV!A:A,"","")"),"清朝")</f>
        <v>清朝</v>
      </c>
      <c r="B312" s="1">
        <f>IFERROR(__xludf.DUMMYFUNCTION("""COMPUTED_VALUE"""),8.0)</f>
        <v>8</v>
      </c>
      <c r="C312" s="1" t="str">
        <f>IFERROR(__xludf.DUMMYFUNCTION("""COMPUTED_VALUE"""),"宣宗")</f>
        <v>宣宗</v>
      </c>
      <c r="D312" s="1" t="str">
        <f>IFERROR(__xludf.DUMMYFUNCTION("""COMPUTED_VALUE"""),"效天符运立中体正至文圣武智勇仁慈俭勤孝敏宽定成皇帝")</f>
        <v>效天符运立中体正至文圣武智勇仁慈俭勤孝敏宽定成皇帝</v>
      </c>
      <c r="E312" s="1" t="str">
        <f>IFERROR(__xludf.DUMMYFUNCTION("""COMPUTED_VALUE"""),"清宣宗")</f>
        <v>清宣宗</v>
      </c>
      <c r="F312" s="1" t="str">
        <f>IFERROR(__xludf.DUMMYFUNCTION("""COMPUTED_VALUE"""),"旻宁")</f>
        <v>旻宁</v>
      </c>
      <c r="G312" s="1">
        <f>IFERROR(__xludf.DUMMYFUNCTION("""COMPUTED_VALUE"""),1820.0)</f>
        <v>1820</v>
      </c>
      <c r="H312" s="1">
        <f>IFERROR(__xludf.DUMMYFUNCTION("""COMPUTED_VALUE"""),10.0)</f>
        <v>10</v>
      </c>
      <c r="I312" s="1">
        <f>IFERROR(__xludf.DUMMYFUNCTION("""COMPUTED_VALUE"""),3.0)</f>
        <v>3</v>
      </c>
      <c r="J312" s="1">
        <f>IFERROR(__xludf.DUMMYFUNCTION("""COMPUTED_VALUE"""),1850.0)</f>
        <v>1850</v>
      </c>
      <c r="K312" s="1">
        <f>IFERROR(__xludf.DUMMYFUNCTION("""COMPUTED_VALUE"""),2.0)</f>
        <v>2</v>
      </c>
      <c r="L312" s="1">
        <f>IFERROR(__xludf.DUMMYFUNCTION("""COMPUTED_VALUE"""),26.0)</f>
        <v>26</v>
      </c>
      <c r="M312" s="1" t="str">
        <f>IFERROR(__xludf.DUMMYFUNCTION("""COMPUTED_VALUE"""),"29年146天")</f>
        <v>29年146天</v>
      </c>
      <c r="N312" s="1" t="str">
        <f>IFERROR(__xludf.DUMMYFUNCTION("""COMPUTED_VALUE"""),"继承")</f>
        <v>继承</v>
      </c>
      <c r="O312" s="1" t="str">
        <f>IFERROR(__xludf.DUMMYFUNCTION("""COMPUTED_VALUE"""),"颙琰次子")</f>
        <v>颙琰次子</v>
      </c>
    </row>
    <row r="313">
      <c r="A313" s="1" t="str">
        <f>IFERROR(__xludf.DUMMYFUNCTION("SPLIT(CSV!A:A,"","")"),"清朝")</f>
        <v>清朝</v>
      </c>
      <c r="B313" s="1">
        <f>IFERROR(__xludf.DUMMYFUNCTION("""COMPUTED_VALUE"""),9.0)</f>
        <v>9</v>
      </c>
      <c r="C313" s="1" t="str">
        <f>IFERROR(__xludf.DUMMYFUNCTION("""COMPUTED_VALUE"""),"文宗")</f>
        <v>文宗</v>
      </c>
      <c r="D313" s="1" t="str">
        <f>IFERROR(__xludf.DUMMYFUNCTION("""COMPUTED_VALUE"""),"协天翊运执中垂谟懋德振武圣孝渊恭端仁宽敏庄俭显皇帝")</f>
        <v>协天翊运执中垂谟懋德振武圣孝渊恭端仁宽敏庄俭显皇帝</v>
      </c>
      <c r="E313" s="1" t="str">
        <f>IFERROR(__xludf.DUMMYFUNCTION("""COMPUTED_VALUE"""),"清文宗")</f>
        <v>清文宗</v>
      </c>
      <c r="F313" s="1" t="str">
        <f>IFERROR(__xludf.DUMMYFUNCTION("""COMPUTED_VALUE"""),"奕詝")</f>
        <v>奕詝</v>
      </c>
      <c r="G313" s="1">
        <f>IFERROR(__xludf.DUMMYFUNCTION("""COMPUTED_VALUE"""),1850.0)</f>
        <v>1850</v>
      </c>
      <c r="H313" s="1">
        <f>IFERROR(__xludf.DUMMYFUNCTION("""COMPUTED_VALUE"""),3.0)</f>
        <v>3</v>
      </c>
      <c r="I313" s="1">
        <f>IFERROR(__xludf.DUMMYFUNCTION("""COMPUTED_VALUE"""),9.0)</f>
        <v>9</v>
      </c>
      <c r="J313" s="1">
        <f>IFERROR(__xludf.DUMMYFUNCTION("""COMPUTED_VALUE"""),1861.0)</f>
        <v>1861</v>
      </c>
      <c r="K313" s="1">
        <f>IFERROR(__xludf.DUMMYFUNCTION("""COMPUTED_VALUE"""),8.0)</f>
        <v>8</v>
      </c>
      <c r="L313" s="1">
        <f>IFERROR(__xludf.DUMMYFUNCTION("""COMPUTED_VALUE"""),22.0)</f>
        <v>22</v>
      </c>
      <c r="M313" s="1" t="str">
        <f>IFERROR(__xludf.DUMMYFUNCTION("""COMPUTED_VALUE"""),"11年166天")</f>
        <v>11年166天</v>
      </c>
      <c r="N313" s="1" t="str">
        <f>IFERROR(__xludf.DUMMYFUNCTION("""COMPUTED_VALUE"""),"继承")</f>
        <v>继承</v>
      </c>
      <c r="O313" s="1" t="str">
        <f>IFERROR(__xludf.DUMMYFUNCTION("""COMPUTED_VALUE"""),"旻宁第四子")</f>
        <v>旻宁第四子</v>
      </c>
    </row>
    <row r="314">
      <c r="A314" s="1" t="str">
        <f>IFERROR(__xludf.DUMMYFUNCTION("SPLIT(CSV!A:A,"","")"),"清朝")</f>
        <v>清朝</v>
      </c>
      <c r="B314" s="1">
        <f>IFERROR(__xludf.DUMMYFUNCTION("""COMPUTED_VALUE"""),10.0)</f>
        <v>10</v>
      </c>
      <c r="C314" s="1" t="str">
        <f>IFERROR(__xludf.DUMMYFUNCTION("""COMPUTED_VALUE"""),"穆宗")</f>
        <v>穆宗</v>
      </c>
      <c r="D314" s="1" t="str">
        <f>IFERROR(__xludf.DUMMYFUNCTION("""COMPUTED_VALUE"""),"继天开运受中居正保大定功圣智诚孝信敏恭宽明肃毅皇帝")</f>
        <v>继天开运受中居正保大定功圣智诚孝信敏恭宽明肃毅皇帝</v>
      </c>
      <c r="E314" s="1" t="str">
        <f>IFERROR(__xludf.DUMMYFUNCTION("""COMPUTED_VALUE"""),"清穆宗")</f>
        <v>清穆宗</v>
      </c>
      <c r="F314" s="1" t="str">
        <f>IFERROR(__xludf.DUMMYFUNCTION("""COMPUTED_VALUE"""),"载淳")</f>
        <v>载淳</v>
      </c>
      <c r="G314" s="1">
        <f>IFERROR(__xludf.DUMMYFUNCTION("""COMPUTED_VALUE"""),1861.0)</f>
        <v>1861</v>
      </c>
      <c r="H314" s="1">
        <f>IFERROR(__xludf.DUMMYFUNCTION("""COMPUTED_VALUE"""),11.0)</f>
        <v>11</v>
      </c>
      <c r="I314" s="1">
        <f>IFERROR(__xludf.DUMMYFUNCTION("""COMPUTED_VALUE"""),11.0)</f>
        <v>11</v>
      </c>
      <c r="J314" s="1">
        <f>IFERROR(__xludf.DUMMYFUNCTION("""COMPUTED_VALUE"""),1875.0)</f>
        <v>1875</v>
      </c>
      <c r="K314" s="1">
        <f>IFERROR(__xludf.DUMMYFUNCTION("""COMPUTED_VALUE"""),1.0)</f>
        <v>1</v>
      </c>
      <c r="L314" s="1">
        <f>IFERROR(__xludf.DUMMYFUNCTION("""COMPUTED_VALUE"""),12.0)</f>
        <v>12</v>
      </c>
      <c r="M314" s="1" t="str">
        <f>IFERROR(__xludf.DUMMYFUNCTION("""COMPUTED_VALUE"""),"13年62天")</f>
        <v>13年62天</v>
      </c>
      <c r="N314" s="1" t="str">
        <f>IFERROR(__xludf.DUMMYFUNCTION("""COMPUTED_VALUE"""),"继承")</f>
        <v>继承</v>
      </c>
      <c r="O314" s="1" t="str">
        <f>IFERROR(__xludf.DUMMYFUNCTION("""COMPUTED_VALUE"""),"奕詝长子")</f>
        <v>奕詝长子</v>
      </c>
    </row>
    <row r="315">
      <c r="A315" s="1" t="str">
        <f>IFERROR(__xludf.DUMMYFUNCTION("SPLIT(CSV!A:A,"","")"),"清朝")</f>
        <v>清朝</v>
      </c>
      <c r="B315" s="1">
        <f>IFERROR(__xludf.DUMMYFUNCTION("""COMPUTED_VALUE"""),11.0)</f>
        <v>11</v>
      </c>
      <c r="C315" s="1" t="str">
        <f>IFERROR(__xludf.DUMMYFUNCTION("""COMPUTED_VALUE"""),"德宗")</f>
        <v>德宗</v>
      </c>
      <c r="D315" s="1" t="str">
        <f>IFERROR(__xludf.DUMMYFUNCTION("""COMPUTED_VALUE"""),"同天崇运大中至正经文纬武仁孝睿智端俭宽勤景皇帝")</f>
        <v>同天崇运大中至正经文纬武仁孝睿智端俭宽勤景皇帝</v>
      </c>
      <c r="E315" s="1" t="str">
        <f>IFERROR(__xludf.DUMMYFUNCTION("""COMPUTED_VALUE"""),"清德宗")</f>
        <v>清德宗</v>
      </c>
      <c r="F315" s="1" t="str">
        <f>IFERROR(__xludf.DUMMYFUNCTION("""COMPUTED_VALUE"""),"载湉")</f>
        <v>载湉</v>
      </c>
      <c r="G315" s="1">
        <f>IFERROR(__xludf.DUMMYFUNCTION("""COMPUTED_VALUE"""),1875.0)</f>
        <v>1875</v>
      </c>
      <c r="H315" s="1">
        <f>IFERROR(__xludf.DUMMYFUNCTION("""COMPUTED_VALUE"""),2.0)</f>
        <v>2</v>
      </c>
      <c r="I315" s="1">
        <f>IFERROR(__xludf.DUMMYFUNCTION("""COMPUTED_VALUE"""),25.0)</f>
        <v>25</v>
      </c>
      <c r="J315" s="1">
        <f>IFERROR(__xludf.DUMMYFUNCTION("""COMPUTED_VALUE"""),1908.0)</f>
        <v>1908</v>
      </c>
      <c r="K315" s="1">
        <f>IFERROR(__xludf.DUMMYFUNCTION("""COMPUTED_VALUE"""),11.0)</f>
        <v>11</v>
      </c>
      <c r="L315" s="1">
        <f>IFERROR(__xludf.DUMMYFUNCTION("""COMPUTED_VALUE"""),14.0)</f>
        <v>14</v>
      </c>
      <c r="M315" s="1" t="str">
        <f>IFERROR(__xludf.DUMMYFUNCTION("""COMPUTED_VALUE"""),"33年263天")</f>
        <v>33年263天</v>
      </c>
      <c r="N315" s="1" t="str">
        <f>IFERROR(__xludf.DUMMYFUNCTION("""COMPUTED_VALUE"""),"继承")</f>
        <v>继承</v>
      </c>
      <c r="O315" s="1" t="str">
        <f>IFERROR(__xludf.DUMMYFUNCTION("""COMPUTED_VALUE"""),"奕詝之侄")</f>
        <v>奕詝之侄</v>
      </c>
    </row>
    <row r="316">
      <c r="A316" s="1" t="str">
        <f>IFERROR(__xludf.DUMMYFUNCTION("SPLIT(CSV!A:A,"","")"),"清朝")</f>
        <v>清朝</v>
      </c>
      <c r="B316" s="1">
        <f>IFERROR(__xludf.DUMMYFUNCTION("""COMPUTED_VALUE"""),12.0)</f>
        <v>12</v>
      </c>
      <c r="C316" s="1" t="str">
        <f>IFERROR(__xludf.DUMMYFUNCTION("""COMPUTED_VALUE"""),"-")</f>
        <v>-</v>
      </c>
      <c r="D316" s="1" t="str">
        <f>IFERROR(__xludf.DUMMYFUNCTION("""COMPUTED_VALUE"""),"-")</f>
        <v>-</v>
      </c>
      <c r="E316" s="1" t="str">
        <f>IFERROR(__xludf.DUMMYFUNCTION("""COMPUTED_VALUE"""),"清逊帝")</f>
        <v>清逊帝</v>
      </c>
      <c r="F316" s="1" t="str">
        <f>IFERROR(__xludf.DUMMYFUNCTION("""COMPUTED_VALUE"""),"溥仪")</f>
        <v>溥仪</v>
      </c>
      <c r="G316" s="1">
        <f>IFERROR(__xludf.DUMMYFUNCTION("""COMPUTED_VALUE"""),1908.0)</f>
        <v>1908</v>
      </c>
      <c r="H316" s="1">
        <f>IFERROR(__xludf.DUMMYFUNCTION("""COMPUTED_VALUE"""),12.0)</f>
        <v>12</v>
      </c>
      <c r="I316" s="1">
        <f>IFERROR(__xludf.DUMMYFUNCTION("""COMPUTED_VALUE"""),2.0)</f>
        <v>2</v>
      </c>
      <c r="J316" s="1">
        <f>IFERROR(__xludf.DUMMYFUNCTION("""COMPUTED_VALUE"""),1912.0)</f>
        <v>1912</v>
      </c>
      <c r="K316" s="1">
        <f>IFERROR(__xludf.DUMMYFUNCTION("""COMPUTED_VALUE"""),2.0)</f>
        <v>2</v>
      </c>
      <c r="L316" s="1">
        <f>IFERROR(__xludf.DUMMYFUNCTION("""COMPUTED_VALUE"""),12.0)</f>
        <v>12</v>
      </c>
      <c r="M316" s="1" t="str">
        <f>IFERROR(__xludf.DUMMYFUNCTION("""COMPUTED_VALUE"""),"3年72天")</f>
        <v>3年72天</v>
      </c>
      <c r="N316" s="1" t="str">
        <f>IFERROR(__xludf.DUMMYFUNCTION("""COMPUTED_VALUE"""),"继承")</f>
        <v>继承</v>
      </c>
      <c r="O316" s="1" t="str">
        <f>IFERROR(__xludf.DUMMYFUNCTION("""COMPUTED_VALUE"""),"载湉之侄")</f>
        <v>载湉之侄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2" t="s">
        <v>4</v>
      </c>
    </row>
    <row r="6">
      <c r="A6" s="2" t="s">
        <v>5</v>
      </c>
    </row>
    <row r="7">
      <c r="A7" s="2" t="s">
        <v>6</v>
      </c>
    </row>
    <row r="8">
      <c r="A8" s="2" t="s">
        <v>7</v>
      </c>
    </row>
    <row r="9">
      <c r="A9" s="2" t="s">
        <v>8</v>
      </c>
    </row>
    <row r="10">
      <c r="A10" s="2" t="s">
        <v>9</v>
      </c>
    </row>
    <row r="11">
      <c r="A11" s="2" t="s">
        <v>10</v>
      </c>
    </row>
    <row r="12">
      <c r="A12" s="2" t="s">
        <v>11</v>
      </c>
    </row>
    <row r="13">
      <c r="A13" s="2" t="s">
        <v>12</v>
      </c>
    </row>
    <row r="14">
      <c r="A14" s="2" t="s">
        <v>13</v>
      </c>
    </row>
    <row r="15">
      <c r="A15" s="2" t="s">
        <v>14</v>
      </c>
    </row>
    <row r="16">
      <c r="A16" s="2" t="s">
        <v>15</v>
      </c>
    </row>
    <row r="17">
      <c r="A17" s="2" t="s">
        <v>16</v>
      </c>
    </row>
    <row r="18">
      <c r="A18" s="2" t="s">
        <v>17</v>
      </c>
    </row>
    <row r="19">
      <c r="A19" s="2" t="s">
        <v>18</v>
      </c>
    </row>
    <row r="20">
      <c r="A20" s="2" t="s">
        <v>19</v>
      </c>
    </row>
    <row r="21">
      <c r="A21" s="2" t="s">
        <v>20</v>
      </c>
    </row>
    <row r="22">
      <c r="A22" s="2" t="s">
        <v>21</v>
      </c>
    </row>
    <row r="23">
      <c r="A23" s="2" t="s">
        <v>22</v>
      </c>
    </row>
    <row r="24">
      <c r="A24" s="2" t="s">
        <v>23</v>
      </c>
    </row>
    <row r="25">
      <c r="A25" s="2" t="s">
        <v>24</v>
      </c>
    </row>
    <row r="26">
      <c r="A26" s="2" t="s">
        <v>25</v>
      </c>
    </row>
    <row r="27">
      <c r="A27" s="2" t="s">
        <v>26</v>
      </c>
    </row>
    <row r="28">
      <c r="A28" s="2" t="s">
        <v>27</v>
      </c>
    </row>
    <row r="29">
      <c r="A29" s="2" t="s">
        <v>28</v>
      </c>
    </row>
    <row r="30">
      <c r="A30" s="2" t="s">
        <v>29</v>
      </c>
    </row>
    <row r="31">
      <c r="A31" s="2" t="s">
        <v>30</v>
      </c>
    </row>
    <row r="32">
      <c r="A32" s="2" t="s">
        <v>31</v>
      </c>
    </row>
    <row r="33">
      <c r="A33" s="2" t="s">
        <v>32</v>
      </c>
    </row>
    <row r="34">
      <c r="A34" s="2" t="s">
        <v>33</v>
      </c>
    </row>
    <row r="35">
      <c r="A35" s="2" t="s">
        <v>34</v>
      </c>
    </row>
    <row r="36">
      <c r="A36" s="2" t="s">
        <v>35</v>
      </c>
    </row>
    <row r="37">
      <c r="A37" s="2" t="s">
        <v>36</v>
      </c>
    </row>
    <row r="38">
      <c r="A38" s="2" t="s">
        <v>37</v>
      </c>
    </row>
    <row r="39">
      <c r="A39" s="2" t="s">
        <v>38</v>
      </c>
    </row>
    <row r="40">
      <c r="A40" s="2" t="s">
        <v>39</v>
      </c>
    </row>
    <row r="41">
      <c r="A41" s="2" t="s">
        <v>40</v>
      </c>
    </row>
    <row r="42">
      <c r="A42" s="2" t="s">
        <v>41</v>
      </c>
    </row>
    <row r="43">
      <c r="A43" s="2" t="s">
        <v>42</v>
      </c>
    </row>
    <row r="44">
      <c r="A44" s="2" t="s">
        <v>43</v>
      </c>
    </row>
    <row r="45">
      <c r="A45" s="2" t="s">
        <v>44</v>
      </c>
    </row>
    <row r="46">
      <c r="A46" s="2" t="s">
        <v>45</v>
      </c>
    </row>
    <row r="47">
      <c r="A47" s="2" t="s">
        <v>46</v>
      </c>
    </row>
    <row r="48">
      <c r="A48" s="2" t="s">
        <v>47</v>
      </c>
    </row>
    <row r="49">
      <c r="A49" s="2" t="s">
        <v>48</v>
      </c>
    </row>
    <row r="50">
      <c r="A50" s="2" t="s">
        <v>49</v>
      </c>
    </row>
    <row r="51">
      <c r="A51" s="2" t="s">
        <v>50</v>
      </c>
    </row>
    <row r="52">
      <c r="A52" s="2" t="s">
        <v>51</v>
      </c>
    </row>
    <row r="53">
      <c r="A53" s="2" t="s">
        <v>52</v>
      </c>
    </row>
    <row r="54">
      <c r="A54" s="2" t="s">
        <v>53</v>
      </c>
    </row>
    <row r="55">
      <c r="A55" s="2" t="s">
        <v>54</v>
      </c>
    </row>
    <row r="56">
      <c r="A56" s="2" t="s">
        <v>55</v>
      </c>
    </row>
    <row r="57">
      <c r="A57" s="2" t="s">
        <v>56</v>
      </c>
    </row>
    <row r="58">
      <c r="A58" s="2" t="s">
        <v>57</v>
      </c>
    </row>
    <row r="59">
      <c r="A59" s="2" t="s">
        <v>58</v>
      </c>
    </row>
    <row r="60">
      <c r="A60" s="2" t="s">
        <v>59</v>
      </c>
    </row>
    <row r="61">
      <c r="A61" s="2" t="s">
        <v>60</v>
      </c>
    </row>
    <row r="62">
      <c r="A62" s="2" t="s">
        <v>61</v>
      </c>
    </row>
    <row r="63">
      <c r="A63" s="2" t="s">
        <v>62</v>
      </c>
    </row>
    <row r="64">
      <c r="A64" s="2" t="s">
        <v>63</v>
      </c>
    </row>
    <row r="65">
      <c r="A65" s="2" t="s">
        <v>64</v>
      </c>
    </row>
    <row r="66">
      <c r="A66" s="2" t="s">
        <v>65</v>
      </c>
    </row>
    <row r="67">
      <c r="A67" s="2" t="s">
        <v>66</v>
      </c>
    </row>
    <row r="68">
      <c r="A68" s="2" t="s">
        <v>67</v>
      </c>
    </row>
    <row r="69">
      <c r="A69" s="2" t="s">
        <v>68</v>
      </c>
    </row>
    <row r="70">
      <c r="A70" s="2" t="s">
        <v>69</v>
      </c>
    </row>
    <row r="71">
      <c r="A71" s="2" t="s">
        <v>70</v>
      </c>
    </row>
    <row r="72">
      <c r="A72" s="2" t="s">
        <v>71</v>
      </c>
    </row>
    <row r="73">
      <c r="A73" s="2" t="s">
        <v>72</v>
      </c>
    </row>
    <row r="74">
      <c r="A74" s="2" t="s">
        <v>73</v>
      </c>
    </row>
    <row r="75">
      <c r="A75" s="2" t="s">
        <v>74</v>
      </c>
    </row>
    <row r="76">
      <c r="A76" s="2" t="s">
        <v>75</v>
      </c>
    </row>
    <row r="77">
      <c r="A77" s="2" t="s">
        <v>76</v>
      </c>
    </row>
    <row r="78">
      <c r="A78" s="2" t="s">
        <v>77</v>
      </c>
    </row>
    <row r="79">
      <c r="A79" s="2" t="s">
        <v>78</v>
      </c>
    </row>
    <row r="80">
      <c r="A80" s="2" t="s">
        <v>79</v>
      </c>
    </row>
    <row r="81">
      <c r="A81" s="2" t="s">
        <v>80</v>
      </c>
    </row>
    <row r="82">
      <c r="A82" s="2" t="s">
        <v>81</v>
      </c>
    </row>
    <row r="83">
      <c r="A83" s="2" t="s">
        <v>82</v>
      </c>
    </row>
    <row r="84">
      <c r="A84" s="2" t="s">
        <v>83</v>
      </c>
    </row>
    <row r="85">
      <c r="A85" s="2" t="s">
        <v>84</v>
      </c>
    </row>
    <row r="86">
      <c r="A86" s="2" t="s">
        <v>85</v>
      </c>
    </row>
    <row r="87">
      <c r="A87" s="2" t="s">
        <v>86</v>
      </c>
    </row>
    <row r="88">
      <c r="A88" s="2" t="s">
        <v>87</v>
      </c>
    </row>
    <row r="89">
      <c r="A89" s="2" t="s">
        <v>88</v>
      </c>
    </row>
    <row r="90">
      <c r="A90" s="2" t="s">
        <v>89</v>
      </c>
    </row>
    <row r="91">
      <c r="A91" s="2" t="s">
        <v>90</v>
      </c>
    </row>
    <row r="92">
      <c r="A92" s="2" t="s">
        <v>91</v>
      </c>
    </row>
    <row r="93">
      <c r="A93" s="2" t="s">
        <v>92</v>
      </c>
    </row>
    <row r="94">
      <c r="A94" s="2" t="s">
        <v>93</v>
      </c>
    </row>
    <row r="95">
      <c r="A95" s="2" t="s">
        <v>94</v>
      </c>
    </row>
    <row r="96">
      <c r="A96" s="2" t="s">
        <v>95</v>
      </c>
    </row>
    <row r="97">
      <c r="A97" s="2" t="s">
        <v>96</v>
      </c>
    </row>
    <row r="98">
      <c r="A98" s="2" t="s">
        <v>97</v>
      </c>
    </row>
    <row r="99">
      <c r="A99" s="2" t="s">
        <v>98</v>
      </c>
    </row>
    <row r="100">
      <c r="A100" s="2" t="s">
        <v>99</v>
      </c>
    </row>
    <row r="101">
      <c r="A101" s="2" t="s">
        <v>100</v>
      </c>
    </row>
    <row r="102">
      <c r="A102" s="2" t="s">
        <v>101</v>
      </c>
    </row>
    <row r="103">
      <c r="A103" s="2" t="s">
        <v>102</v>
      </c>
    </row>
    <row r="104">
      <c r="A104" s="2" t="s">
        <v>103</v>
      </c>
    </row>
    <row r="105">
      <c r="A105" s="2" t="s">
        <v>104</v>
      </c>
    </row>
    <row r="106">
      <c r="A106" s="2" t="s">
        <v>105</v>
      </c>
    </row>
    <row r="107">
      <c r="A107" s="2" t="s">
        <v>106</v>
      </c>
    </row>
    <row r="108">
      <c r="A108" s="2" t="s">
        <v>107</v>
      </c>
    </row>
    <row r="109">
      <c r="A109" s="2" t="s">
        <v>108</v>
      </c>
    </row>
    <row r="110">
      <c r="A110" s="2" t="s">
        <v>109</v>
      </c>
    </row>
    <row r="111">
      <c r="A111" s="2" t="s">
        <v>110</v>
      </c>
    </row>
    <row r="112">
      <c r="A112" s="2" t="s">
        <v>111</v>
      </c>
    </row>
    <row r="113">
      <c r="A113" s="2" t="s">
        <v>112</v>
      </c>
    </row>
    <row r="114">
      <c r="A114" s="2" t="s">
        <v>113</v>
      </c>
    </row>
    <row r="115">
      <c r="A115" s="2" t="s">
        <v>114</v>
      </c>
    </row>
    <row r="116">
      <c r="A116" s="2" t="s">
        <v>115</v>
      </c>
    </row>
    <row r="117">
      <c r="A117" s="2" t="s">
        <v>116</v>
      </c>
    </row>
    <row r="118">
      <c r="A118" s="2" t="s">
        <v>117</v>
      </c>
    </row>
    <row r="119">
      <c r="A119" s="2" t="s">
        <v>118</v>
      </c>
    </row>
    <row r="120">
      <c r="A120" s="2" t="s">
        <v>119</v>
      </c>
    </row>
    <row r="121">
      <c r="A121" s="2" t="s">
        <v>120</v>
      </c>
    </row>
    <row r="122">
      <c r="A122" s="2" t="s">
        <v>121</v>
      </c>
    </row>
    <row r="123">
      <c r="A123" s="2" t="s">
        <v>122</v>
      </c>
    </row>
    <row r="124">
      <c r="A124" s="2" t="s">
        <v>123</v>
      </c>
    </row>
    <row r="125">
      <c r="A125" s="2" t="s">
        <v>124</v>
      </c>
    </row>
    <row r="126">
      <c r="A126" s="2" t="s">
        <v>125</v>
      </c>
    </row>
    <row r="127">
      <c r="A127" s="2" t="s">
        <v>126</v>
      </c>
    </row>
    <row r="128">
      <c r="A128" s="2" t="s">
        <v>127</v>
      </c>
    </row>
    <row r="129">
      <c r="A129" s="2" t="s">
        <v>128</v>
      </c>
    </row>
    <row r="130">
      <c r="A130" s="2" t="s">
        <v>129</v>
      </c>
    </row>
    <row r="131">
      <c r="A131" s="2" t="s">
        <v>130</v>
      </c>
    </row>
    <row r="132">
      <c r="A132" s="2" t="s">
        <v>131</v>
      </c>
    </row>
    <row r="133">
      <c r="A133" s="2" t="s">
        <v>132</v>
      </c>
    </row>
    <row r="134">
      <c r="A134" s="2" t="s">
        <v>133</v>
      </c>
    </row>
    <row r="135">
      <c r="A135" s="2" t="s">
        <v>134</v>
      </c>
    </row>
    <row r="136">
      <c r="A136" s="2" t="s">
        <v>135</v>
      </c>
    </row>
    <row r="137">
      <c r="A137" s="2" t="s">
        <v>136</v>
      </c>
    </row>
    <row r="138">
      <c r="A138" s="2" t="s">
        <v>137</v>
      </c>
    </row>
    <row r="139">
      <c r="A139" s="2" t="s">
        <v>138</v>
      </c>
    </row>
    <row r="140">
      <c r="A140" s="2" t="s">
        <v>139</v>
      </c>
    </row>
    <row r="141">
      <c r="A141" s="2" t="s">
        <v>140</v>
      </c>
    </row>
    <row r="142">
      <c r="A142" s="2" t="s">
        <v>141</v>
      </c>
    </row>
    <row r="143">
      <c r="A143" s="2" t="s">
        <v>142</v>
      </c>
    </row>
    <row r="144">
      <c r="A144" s="2" t="s">
        <v>143</v>
      </c>
    </row>
    <row r="145">
      <c r="A145" s="2" t="s">
        <v>144</v>
      </c>
    </row>
    <row r="146">
      <c r="A146" s="2" t="s">
        <v>145</v>
      </c>
    </row>
    <row r="147">
      <c r="A147" s="2" t="s">
        <v>146</v>
      </c>
    </row>
    <row r="148">
      <c r="A148" s="2" t="s">
        <v>147</v>
      </c>
    </row>
    <row r="149">
      <c r="A149" s="2" t="s">
        <v>148</v>
      </c>
    </row>
    <row r="150">
      <c r="A150" s="2" t="s">
        <v>149</v>
      </c>
    </row>
    <row r="151">
      <c r="A151" s="2" t="s">
        <v>150</v>
      </c>
    </row>
    <row r="152">
      <c r="A152" s="2" t="s">
        <v>151</v>
      </c>
    </row>
    <row r="153">
      <c r="A153" s="2" t="s">
        <v>152</v>
      </c>
    </row>
    <row r="154">
      <c r="A154" s="2" t="s">
        <v>153</v>
      </c>
    </row>
    <row r="155">
      <c r="A155" s="2" t="s">
        <v>154</v>
      </c>
    </row>
    <row r="156">
      <c r="A156" s="2" t="s">
        <v>155</v>
      </c>
    </row>
    <row r="157">
      <c r="A157" s="2" t="s">
        <v>156</v>
      </c>
    </row>
    <row r="158">
      <c r="A158" s="2" t="s">
        <v>157</v>
      </c>
    </row>
    <row r="159">
      <c r="A159" s="2" t="s">
        <v>158</v>
      </c>
    </row>
    <row r="160">
      <c r="A160" s="2" t="s">
        <v>159</v>
      </c>
    </row>
    <row r="161">
      <c r="A161" s="2" t="s">
        <v>160</v>
      </c>
    </row>
    <row r="162">
      <c r="A162" s="2" t="s">
        <v>161</v>
      </c>
    </row>
    <row r="163">
      <c r="A163" s="2" t="s">
        <v>162</v>
      </c>
    </row>
    <row r="164">
      <c r="A164" s="2" t="s">
        <v>163</v>
      </c>
    </row>
    <row r="165">
      <c r="A165" s="2" t="s">
        <v>164</v>
      </c>
    </row>
    <row r="166">
      <c r="A166" s="2" t="s">
        <v>165</v>
      </c>
    </row>
    <row r="167">
      <c r="A167" s="2" t="s">
        <v>166</v>
      </c>
    </row>
    <row r="168">
      <c r="A168" s="2" t="s">
        <v>167</v>
      </c>
    </row>
    <row r="169">
      <c r="A169" s="2" t="s">
        <v>168</v>
      </c>
    </row>
    <row r="170">
      <c r="A170" s="2" t="s">
        <v>169</v>
      </c>
    </row>
    <row r="171">
      <c r="A171" s="2" t="s">
        <v>170</v>
      </c>
    </row>
    <row r="172">
      <c r="A172" s="2" t="s">
        <v>171</v>
      </c>
    </row>
    <row r="173">
      <c r="A173" s="2" t="s">
        <v>172</v>
      </c>
    </row>
    <row r="174">
      <c r="A174" s="2" t="s">
        <v>173</v>
      </c>
    </row>
    <row r="175">
      <c r="A175" s="2" t="s">
        <v>174</v>
      </c>
    </row>
    <row r="176">
      <c r="A176" s="2" t="s">
        <v>175</v>
      </c>
    </row>
    <row r="177">
      <c r="A177" s="2" t="s">
        <v>176</v>
      </c>
    </row>
    <row r="178">
      <c r="A178" s="2" t="s">
        <v>177</v>
      </c>
    </row>
    <row r="179">
      <c r="A179" s="2" t="s">
        <v>178</v>
      </c>
    </row>
    <row r="180">
      <c r="A180" s="2" t="s">
        <v>179</v>
      </c>
    </row>
    <row r="181">
      <c r="A181" s="2" t="s">
        <v>180</v>
      </c>
    </row>
    <row r="182">
      <c r="A182" s="2" t="s">
        <v>181</v>
      </c>
    </row>
    <row r="183">
      <c r="A183" s="2" t="s">
        <v>182</v>
      </c>
    </row>
    <row r="184">
      <c r="A184" s="2" t="s">
        <v>183</v>
      </c>
    </row>
    <row r="185">
      <c r="A185" s="2" t="s">
        <v>184</v>
      </c>
    </row>
    <row r="186">
      <c r="A186" s="2" t="s">
        <v>185</v>
      </c>
    </row>
    <row r="187">
      <c r="A187" s="2" t="s">
        <v>186</v>
      </c>
    </row>
    <row r="188">
      <c r="A188" s="2" t="s">
        <v>187</v>
      </c>
    </row>
    <row r="189">
      <c r="A189" s="2" t="s">
        <v>188</v>
      </c>
    </row>
    <row r="190">
      <c r="A190" s="2" t="s">
        <v>189</v>
      </c>
    </row>
    <row r="191">
      <c r="A191" s="2" t="s">
        <v>190</v>
      </c>
    </row>
    <row r="192">
      <c r="A192" s="2" t="s">
        <v>191</v>
      </c>
    </row>
    <row r="193">
      <c r="A193" s="2" t="s">
        <v>192</v>
      </c>
    </row>
    <row r="194">
      <c r="A194" s="2" t="s">
        <v>193</v>
      </c>
    </row>
    <row r="195">
      <c r="A195" s="2" t="s">
        <v>194</v>
      </c>
    </row>
    <row r="196">
      <c r="A196" s="2" t="s">
        <v>195</v>
      </c>
    </row>
    <row r="197">
      <c r="A197" s="2" t="s">
        <v>196</v>
      </c>
    </row>
    <row r="198">
      <c r="A198" s="2" t="s">
        <v>197</v>
      </c>
    </row>
    <row r="199">
      <c r="A199" s="2" t="s">
        <v>198</v>
      </c>
    </row>
    <row r="200">
      <c r="A200" s="2" t="s">
        <v>199</v>
      </c>
    </row>
    <row r="201">
      <c r="A201" s="2" t="s">
        <v>200</v>
      </c>
    </row>
    <row r="202">
      <c r="A202" s="2" t="s">
        <v>201</v>
      </c>
    </row>
    <row r="203">
      <c r="A203" s="2" t="s">
        <v>202</v>
      </c>
    </row>
    <row r="204">
      <c r="A204" s="2" t="s">
        <v>203</v>
      </c>
    </row>
    <row r="205">
      <c r="A205" s="2" t="s">
        <v>204</v>
      </c>
    </row>
    <row r="206">
      <c r="A206" s="2" t="s">
        <v>205</v>
      </c>
    </row>
    <row r="207">
      <c r="A207" s="2" t="s">
        <v>206</v>
      </c>
    </row>
    <row r="208">
      <c r="A208" s="2" t="s">
        <v>207</v>
      </c>
    </row>
    <row r="209">
      <c r="A209" s="2" t="s">
        <v>208</v>
      </c>
    </row>
    <row r="210">
      <c r="A210" s="2" t="s">
        <v>209</v>
      </c>
    </row>
    <row r="211">
      <c r="A211" s="2" t="s">
        <v>210</v>
      </c>
    </row>
    <row r="212">
      <c r="A212" s="2" t="s">
        <v>211</v>
      </c>
    </row>
    <row r="213">
      <c r="A213" s="2" t="s">
        <v>212</v>
      </c>
    </row>
    <row r="214">
      <c r="A214" s="2" t="s">
        <v>213</v>
      </c>
    </row>
    <row r="215">
      <c r="A215" s="2" t="s">
        <v>214</v>
      </c>
    </row>
    <row r="216">
      <c r="A216" s="2" t="s">
        <v>215</v>
      </c>
    </row>
    <row r="217">
      <c r="A217" s="2" t="s">
        <v>216</v>
      </c>
    </row>
    <row r="218">
      <c r="A218" s="2" t="s">
        <v>217</v>
      </c>
    </row>
    <row r="219">
      <c r="A219" s="2" t="s">
        <v>218</v>
      </c>
    </row>
    <row r="220">
      <c r="A220" s="2" t="s">
        <v>219</v>
      </c>
    </row>
    <row r="221">
      <c r="A221" s="2" t="s">
        <v>220</v>
      </c>
    </row>
    <row r="222">
      <c r="A222" s="2" t="s">
        <v>221</v>
      </c>
    </row>
    <row r="223">
      <c r="A223" s="2" t="s">
        <v>222</v>
      </c>
    </row>
    <row r="224">
      <c r="A224" s="2" t="s">
        <v>223</v>
      </c>
    </row>
    <row r="225">
      <c r="A225" s="2" t="s">
        <v>224</v>
      </c>
    </row>
    <row r="226">
      <c r="A226" s="2" t="s">
        <v>225</v>
      </c>
    </row>
    <row r="227">
      <c r="A227" s="2" t="s">
        <v>226</v>
      </c>
    </row>
    <row r="228">
      <c r="A228" s="2" t="s">
        <v>227</v>
      </c>
    </row>
    <row r="229">
      <c r="A229" s="2" t="s">
        <v>228</v>
      </c>
    </row>
    <row r="230">
      <c r="A230" s="2" t="s">
        <v>229</v>
      </c>
    </row>
    <row r="231">
      <c r="A231" s="2" t="s">
        <v>230</v>
      </c>
    </row>
    <row r="232">
      <c r="A232" s="2" t="s">
        <v>231</v>
      </c>
    </row>
    <row r="233">
      <c r="A233" s="2" t="s">
        <v>232</v>
      </c>
    </row>
    <row r="234">
      <c r="A234" s="2" t="s">
        <v>233</v>
      </c>
    </row>
    <row r="235">
      <c r="A235" s="2" t="s">
        <v>234</v>
      </c>
    </row>
    <row r="236">
      <c r="A236" s="2" t="s">
        <v>235</v>
      </c>
    </row>
    <row r="237">
      <c r="A237" s="2" t="s">
        <v>236</v>
      </c>
    </row>
    <row r="238">
      <c r="A238" s="2" t="s">
        <v>237</v>
      </c>
    </row>
    <row r="239">
      <c r="A239" s="2" t="s">
        <v>238</v>
      </c>
    </row>
    <row r="240">
      <c r="A240" s="2" t="s">
        <v>239</v>
      </c>
    </row>
    <row r="241">
      <c r="A241" s="2" t="s">
        <v>240</v>
      </c>
    </row>
    <row r="242">
      <c r="A242" s="2" t="s">
        <v>241</v>
      </c>
    </row>
    <row r="243">
      <c r="A243" s="2" t="s">
        <v>242</v>
      </c>
    </row>
    <row r="244">
      <c r="A244" s="2" t="s">
        <v>243</v>
      </c>
    </row>
    <row r="245">
      <c r="A245" s="2" t="s">
        <v>244</v>
      </c>
    </row>
    <row r="246">
      <c r="A246" s="2" t="s">
        <v>245</v>
      </c>
    </row>
    <row r="247">
      <c r="A247" s="2" t="s">
        <v>246</v>
      </c>
    </row>
    <row r="248">
      <c r="A248" s="2" t="s">
        <v>247</v>
      </c>
    </row>
    <row r="249">
      <c r="A249" s="2" t="s">
        <v>248</v>
      </c>
    </row>
    <row r="250">
      <c r="A250" s="2" t="s">
        <v>249</v>
      </c>
    </row>
    <row r="251">
      <c r="A251" s="2" t="s">
        <v>250</v>
      </c>
    </row>
    <row r="252">
      <c r="A252" s="2" t="s">
        <v>251</v>
      </c>
    </row>
    <row r="253">
      <c r="A253" s="2" t="s">
        <v>252</v>
      </c>
    </row>
    <row r="254">
      <c r="A254" s="2" t="s">
        <v>253</v>
      </c>
    </row>
    <row r="255">
      <c r="A255" s="2" t="s">
        <v>254</v>
      </c>
    </row>
    <row r="256">
      <c r="A256" s="2" t="s">
        <v>255</v>
      </c>
    </row>
    <row r="257">
      <c r="A257" s="2" t="s">
        <v>256</v>
      </c>
    </row>
    <row r="258">
      <c r="A258" s="2" t="s">
        <v>257</v>
      </c>
    </row>
    <row r="259">
      <c r="A259" s="2" t="s">
        <v>258</v>
      </c>
    </row>
    <row r="260">
      <c r="A260" s="2" t="s">
        <v>259</v>
      </c>
    </row>
    <row r="261">
      <c r="A261" s="2" t="s">
        <v>260</v>
      </c>
    </row>
    <row r="262">
      <c r="A262" s="2" t="s">
        <v>261</v>
      </c>
    </row>
    <row r="263">
      <c r="A263" s="2" t="s">
        <v>262</v>
      </c>
    </row>
    <row r="264">
      <c r="A264" s="2" t="s">
        <v>263</v>
      </c>
    </row>
    <row r="265">
      <c r="A265" s="2" t="s">
        <v>264</v>
      </c>
    </row>
    <row r="266">
      <c r="A266" s="2" t="s">
        <v>265</v>
      </c>
    </row>
    <row r="267">
      <c r="A267" s="2" t="s">
        <v>266</v>
      </c>
    </row>
    <row r="268">
      <c r="A268" s="2" t="s">
        <v>267</v>
      </c>
    </row>
    <row r="269">
      <c r="A269" s="2" t="s">
        <v>268</v>
      </c>
    </row>
    <row r="270">
      <c r="A270" s="2" t="s">
        <v>269</v>
      </c>
    </row>
    <row r="271">
      <c r="A271" s="2" t="s">
        <v>270</v>
      </c>
    </row>
    <row r="272">
      <c r="A272" s="2" t="s">
        <v>271</v>
      </c>
    </row>
    <row r="273">
      <c r="A273" s="2" t="s">
        <v>272</v>
      </c>
    </row>
    <row r="274">
      <c r="A274" s="2" t="s">
        <v>273</v>
      </c>
    </row>
    <row r="275">
      <c r="A275" s="2" t="s">
        <v>274</v>
      </c>
    </row>
    <row r="276">
      <c r="A276" s="2" t="s">
        <v>275</v>
      </c>
    </row>
    <row r="277">
      <c r="A277" s="2" t="s">
        <v>276</v>
      </c>
    </row>
    <row r="278">
      <c r="A278" s="2" t="s">
        <v>277</v>
      </c>
    </row>
    <row r="279">
      <c r="A279" s="2" t="s">
        <v>278</v>
      </c>
    </row>
    <row r="280">
      <c r="A280" s="2" t="s">
        <v>279</v>
      </c>
    </row>
    <row r="281">
      <c r="A281" s="2" t="s">
        <v>280</v>
      </c>
    </row>
    <row r="282">
      <c r="A282" s="2" t="s">
        <v>281</v>
      </c>
    </row>
    <row r="283">
      <c r="A283" s="2" t="s">
        <v>282</v>
      </c>
    </row>
    <row r="284">
      <c r="A284" s="2" t="s">
        <v>283</v>
      </c>
    </row>
    <row r="285">
      <c r="A285" s="2" t="s">
        <v>284</v>
      </c>
    </row>
    <row r="286">
      <c r="A286" s="2" t="s">
        <v>285</v>
      </c>
    </row>
    <row r="287">
      <c r="A287" s="2" t="s">
        <v>286</v>
      </c>
    </row>
    <row r="288">
      <c r="A288" s="2" t="s">
        <v>287</v>
      </c>
    </row>
    <row r="289">
      <c r="A289" s="2" t="s">
        <v>288</v>
      </c>
    </row>
    <row r="290">
      <c r="A290" s="2" t="s">
        <v>289</v>
      </c>
    </row>
    <row r="291">
      <c r="A291" s="2" t="s">
        <v>290</v>
      </c>
    </row>
    <row r="292">
      <c r="A292" s="2" t="s">
        <v>291</v>
      </c>
    </row>
    <row r="293">
      <c r="A293" s="2" t="s">
        <v>292</v>
      </c>
    </row>
    <row r="294">
      <c r="A294" s="2" t="s">
        <v>293</v>
      </c>
    </row>
    <row r="295">
      <c r="A295" s="2" t="s">
        <v>294</v>
      </c>
    </row>
    <row r="296">
      <c r="A296" s="2" t="s">
        <v>295</v>
      </c>
    </row>
    <row r="297">
      <c r="A297" s="2" t="s">
        <v>296</v>
      </c>
    </row>
    <row r="298">
      <c r="A298" s="2" t="s">
        <v>297</v>
      </c>
    </row>
    <row r="299">
      <c r="A299" s="2" t="s">
        <v>298</v>
      </c>
    </row>
    <row r="300">
      <c r="A300" s="2" t="s">
        <v>299</v>
      </c>
    </row>
    <row r="301">
      <c r="A301" s="2" t="s">
        <v>300</v>
      </c>
    </row>
    <row r="302">
      <c r="A302" s="2" t="s">
        <v>301</v>
      </c>
    </row>
    <row r="303">
      <c r="A303" s="2" t="s">
        <v>302</v>
      </c>
    </row>
    <row r="304">
      <c r="A304" s="2" t="s">
        <v>303</v>
      </c>
    </row>
    <row r="305">
      <c r="A305" s="2" t="s">
        <v>304</v>
      </c>
    </row>
    <row r="306">
      <c r="A306" s="2" t="s">
        <v>305</v>
      </c>
    </row>
    <row r="307">
      <c r="A307" s="2" t="s">
        <v>306</v>
      </c>
    </row>
    <row r="308">
      <c r="A308" s="2" t="s">
        <v>307</v>
      </c>
    </row>
    <row r="309">
      <c r="A309" s="2" t="s">
        <v>308</v>
      </c>
    </row>
    <row r="310">
      <c r="A310" s="2" t="s">
        <v>309</v>
      </c>
    </row>
    <row r="311">
      <c r="A311" s="2" t="s">
        <v>310</v>
      </c>
    </row>
    <row r="312">
      <c r="A312" s="2" t="s">
        <v>311</v>
      </c>
    </row>
    <row r="313">
      <c r="A313" s="2" t="s">
        <v>312</v>
      </c>
    </row>
    <row r="314">
      <c r="A314" s="2" t="s">
        <v>313</v>
      </c>
    </row>
    <row r="315">
      <c r="A315" s="2" t="s">
        <v>314</v>
      </c>
    </row>
    <row r="316">
      <c r="A316" s="2" t="s">
        <v>315</v>
      </c>
    </row>
  </sheetData>
  <drawing r:id="rId1"/>
</worksheet>
</file>