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86187\Desktop\激波雾化器\"/>
    </mc:Choice>
  </mc:AlternateContent>
  <xr:revisionPtr revIDLastSave="0" documentId="13_ncr:1_{E9B37A1F-89B2-4114-B47F-A09590229B6B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临界携液流量计算" sheetId="1" r:id="rId1"/>
    <sheet name="Sheet2" sheetId="2" r:id="rId2"/>
    <sheet name="Sheet3" sheetId="3" r:id="rId3"/>
    <sheet name="sheet4" sheetId="4" r:id="rId4"/>
    <sheet name="Sheet5" sheetId="5" r:id="rId5"/>
  </sheets>
  <calcPr calcId="191029"/>
</workbook>
</file>

<file path=xl/calcChain.xml><?xml version="1.0" encoding="utf-8"?>
<calcChain xmlns="http://schemas.openxmlformats.org/spreadsheetml/2006/main">
  <c r="V2" i="3" l="1"/>
  <c r="P3" i="3"/>
  <c r="P4" i="3"/>
  <c r="P5" i="3"/>
  <c r="P6" i="3"/>
  <c r="P7" i="3"/>
  <c r="P8" i="3"/>
  <c r="P2" i="3"/>
  <c r="X89" i="2" s="1"/>
  <c r="O8" i="3"/>
  <c r="M8" i="3" s="1"/>
  <c r="N8" i="3" s="1"/>
  <c r="B5" i="3"/>
  <c r="O4" i="3"/>
  <c r="M4" i="3" s="1"/>
  <c r="N4" i="3"/>
  <c r="E3" i="3"/>
  <c r="O2" i="3"/>
  <c r="M2" i="3"/>
  <c r="N2" i="3" s="1"/>
  <c r="C2" i="3"/>
  <c r="B2" i="3"/>
  <c r="AC95" i="2"/>
  <c r="AC94" i="2"/>
  <c r="AC92" i="2"/>
  <c r="AC89" i="2"/>
  <c r="L83" i="2"/>
  <c r="L79" i="2"/>
  <c r="B24" i="2"/>
  <c r="B22" i="2"/>
  <c r="C17" i="2"/>
  <c r="B8" i="3" s="1"/>
  <c r="D17" i="2" s="1"/>
  <c r="C16" i="2"/>
  <c r="O7" i="3" s="1"/>
  <c r="M7" i="3" s="1"/>
  <c r="B16" i="2"/>
  <c r="D15" i="2"/>
  <c r="C15" i="2"/>
  <c r="O6" i="3" s="1"/>
  <c r="M6" i="3" s="1"/>
  <c r="B15" i="2"/>
  <c r="B6" i="3" s="1"/>
  <c r="D14" i="2"/>
  <c r="C14" i="2"/>
  <c r="O5" i="3" s="1"/>
  <c r="M5" i="3" s="1"/>
  <c r="B14" i="2"/>
  <c r="C13" i="2"/>
  <c r="B13" i="2"/>
  <c r="AC91" i="2" s="1"/>
  <c r="C12" i="2"/>
  <c r="O3" i="3" s="1"/>
  <c r="M3" i="3" s="1"/>
  <c r="B12" i="2"/>
  <c r="D11" i="2"/>
  <c r="F2" i="2"/>
  <c r="H2" i="2" s="1"/>
  <c r="L85" i="2" s="1"/>
  <c r="F1" i="2"/>
  <c r="D8" i="2" s="1"/>
  <c r="C31" i="1"/>
  <c r="C20" i="1"/>
  <c r="C19" i="1"/>
  <c r="C21" i="1" s="1"/>
  <c r="C7" i="1"/>
  <c r="C11" i="1" s="1"/>
  <c r="C14" i="1" s="1"/>
  <c r="S89" i="2" l="1"/>
  <c r="N3" i="3"/>
  <c r="F16" i="1"/>
  <c r="F17" i="1" s="1"/>
  <c r="G16" i="1" s="1"/>
  <c r="F19" i="1"/>
  <c r="F20" i="1" s="1"/>
  <c r="G19" i="1" s="1"/>
  <c r="F9" i="1"/>
  <c r="F8" i="1"/>
  <c r="F13" i="1"/>
  <c r="F14" i="1" s="1"/>
  <c r="G13" i="1" s="1"/>
  <c r="F7" i="1"/>
  <c r="F11" i="1"/>
  <c r="G11" i="1" s="1"/>
  <c r="P85" i="2"/>
  <c r="N85" i="2"/>
  <c r="L80" i="2"/>
  <c r="L84" i="2"/>
  <c r="N5" i="3"/>
  <c r="N7" i="3"/>
  <c r="P82" i="2"/>
  <c r="N82" i="2"/>
  <c r="N6" i="3"/>
  <c r="D5" i="2"/>
  <c r="P79" i="2"/>
  <c r="N79" i="2"/>
  <c r="E11" i="2"/>
  <c r="P83" i="2"/>
  <c r="N83" i="2"/>
  <c r="L81" i="2"/>
  <c r="X94" i="2"/>
  <c r="L82" i="2"/>
  <c r="B4" i="3"/>
  <c r="D13" i="2" s="1"/>
  <c r="AC90" i="2"/>
  <c r="B3" i="3"/>
  <c r="D12" i="2" s="1"/>
  <c r="E16" i="2"/>
  <c r="AC93" i="2"/>
  <c r="B7" i="3"/>
  <c r="D16" i="2" s="1"/>
  <c r="E13" i="2"/>
  <c r="F13" i="2" l="1"/>
  <c r="V4" i="3" s="1"/>
  <c r="G13" i="2" s="1"/>
  <c r="K81" i="2" s="1"/>
  <c r="J81" i="2" s="1"/>
  <c r="A4" i="3"/>
  <c r="X81" i="2" s="1"/>
  <c r="P81" i="2"/>
  <c r="N81" i="2"/>
  <c r="X92" i="2"/>
  <c r="S92" i="2"/>
  <c r="E14" i="2"/>
  <c r="P84" i="2"/>
  <c r="N84" i="2"/>
  <c r="G7" i="1"/>
  <c r="I7" i="1" s="1"/>
  <c r="C15" i="1" s="1"/>
  <c r="C26" i="1" s="1"/>
  <c r="C33" i="1" s="1"/>
  <c r="S95" i="2"/>
  <c r="X95" i="2"/>
  <c r="E17" i="2"/>
  <c r="S91" i="2"/>
  <c r="F11" i="2"/>
  <c r="A2" i="3"/>
  <c r="X79" i="2" s="1"/>
  <c r="F16" i="2"/>
  <c r="V7" i="3" s="1"/>
  <c r="G16" i="2" s="1"/>
  <c r="K84" i="2" s="1"/>
  <c r="J84" i="2" s="1"/>
  <c r="A7" i="3"/>
  <c r="X84" i="2" s="1"/>
  <c r="S94" i="2"/>
  <c r="P80" i="2"/>
  <c r="N80" i="2"/>
  <c r="S93" i="2"/>
  <c r="E15" i="2"/>
  <c r="X90" i="2"/>
  <c r="S90" i="2"/>
  <c r="E12" i="2"/>
  <c r="X91" i="2"/>
  <c r="X93" i="2"/>
  <c r="L4" i="3" l="1"/>
  <c r="K4" i="3" s="1"/>
  <c r="I4" i="3" s="1"/>
  <c r="Y4" i="3" s="1"/>
  <c r="X4" i="3" s="1"/>
  <c r="F12" i="2"/>
  <c r="A3" i="3"/>
  <c r="X80" i="2" s="1"/>
  <c r="F14" i="2"/>
  <c r="A5" i="3"/>
  <c r="X82" i="2" s="1"/>
  <c r="A8" i="3"/>
  <c r="X85" i="2" s="1"/>
  <c r="F17" i="2"/>
  <c r="L7" i="3"/>
  <c r="K7" i="3" s="1"/>
  <c r="I7" i="3" s="1"/>
  <c r="A6" i="3"/>
  <c r="X83" i="2" s="1"/>
  <c r="F15" i="2"/>
  <c r="G11" i="2"/>
  <c r="K79" i="2" s="1"/>
  <c r="J79" i="2" s="1"/>
  <c r="L2" i="3"/>
  <c r="K2" i="3" s="1"/>
  <c r="I2" i="3" s="1"/>
  <c r="S4" i="3" l="1"/>
  <c r="I13" i="2" s="1"/>
  <c r="H13" i="2"/>
  <c r="S2" i="3"/>
  <c r="H11" i="2"/>
  <c r="Y2" i="3"/>
  <c r="X2" i="3" s="1"/>
  <c r="L8" i="3"/>
  <c r="K8" i="3" s="1"/>
  <c r="I8" i="3" s="1"/>
  <c r="V8" i="3"/>
  <c r="G17" i="2" s="1"/>
  <c r="K85" i="2" s="1"/>
  <c r="J85" i="2" s="1"/>
  <c r="L6" i="3"/>
  <c r="K6" i="3" s="1"/>
  <c r="I6" i="3" s="1"/>
  <c r="V6" i="3"/>
  <c r="G15" i="2" s="1"/>
  <c r="K83" i="2" s="1"/>
  <c r="J83" i="2" s="1"/>
  <c r="V5" i="3"/>
  <c r="G14" i="2" s="1"/>
  <c r="K82" i="2" s="1"/>
  <c r="J82" i="2" s="1"/>
  <c r="L5" i="3"/>
  <c r="K5" i="3" s="1"/>
  <c r="I5" i="3" s="1"/>
  <c r="S7" i="3"/>
  <c r="H16" i="2"/>
  <c r="Y7" i="3"/>
  <c r="X7" i="3" s="1"/>
  <c r="V3" i="3"/>
  <c r="G12" i="2" s="1"/>
  <c r="K80" i="2" s="1"/>
  <c r="J80" i="2" s="1"/>
  <c r="L3" i="3"/>
  <c r="K3" i="3" s="1"/>
  <c r="I3" i="3" s="1"/>
  <c r="T4" i="3" l="1"/>
  <c r="H17" i="2"/>
  <c r="S8" i="3"/>
  <c r="Y8" i="3"/>
  <c r="X8" i="3" s="1"/>
  <c r="S3" i="3"/>
  <c r="H12" i="2"/>
  <c r="Y3" i="3"/>
  <c r="X3" i="3" s="1"/>
  <c r="S6" i="3"/>
  <c r="H15" i="2"/>
  <c r="Y6" i="3"/>
  <c r="X6" i="3" s="1"/>
  <c r="T7" i="3"/>
  <c r="I16" i="2"/>
  <c r="AC81" i="2"/>
  <c r="S81" i="2"/>
  <c r="S5" i="3"/>
  <c r="H14" i="2"/>
  <c r="Y5" i="3"/>
  <c r="X5" i="3" s="1"/>
  <c r="T2" i="3"/>
  <c r="I11" i="2"/>
  <c r="T5" i="3" l="1"/>
  <c r="I14" i="2"/>
  <c r="AC84" i="2"/>
  <c r="S84" i="2"/>
  <c r="T8" i="3"/>
  <c r="I17" i="2"/>
  <c r="I15" i="2"/>
  <c r="T6" i="3"/>
  <c r="T3" i="3"/>
  <c r="I12" i="2"/>
  <c r="AC79" i="2"/>
  <c r="S79" i="2"/>
  <c r="AC83" i="2" l="1"/>
  <c r="S83" i="2"/>
  <c r="AC85" i="2"/>
  <c r="S85" i="2"/>
  <c r="AC80" i="2"/>
  <c r="S80" i="2"/>
  <c r="AC82" i="2"/>
  <c r="S82" i="2"/>
</calcChain>
</file>

<file path=xl/sharedStrings.xml><?xml version="1.0" encoding="utf-8"?>
<sst xmlns="http://schemas.openxmlformats.org/spreadsheetml/2006/main" count="236" uniqueCount="148">
  <si>
    <t>临界携液流量计算</t>
  </si>
  <si>
    <t>井倾斜角度</t>
  </si>
  <si>
    <t>0度：垂直；90度：水平</t>
  </si>
  <si>
    <t>T</t>
  </si>
  <si>
    <t>温度工况</t>
  </si>
  <si>
    <t>℃</t>
  </si>
  <si>
    <t>P</t>
  </si>
  <si>
    <t>压力工况</t>
  </si>
  <si>
    <t>Mpa</t>
  </si>
  <si>
    <t>Qs</t>
  </si>
  <si>
    <t>配产气量</t>
  </si>
  <si>
    <t>m3/d</t>
  </si>
  <si>
    <t>m3/s</t>
  </si>
  <si>
    <t>Cd（液滴的曳力系数，与Re参数有关）</t>
  </si>
  <si>
    <t>ρgas</t>
  </si>
  <si>
    <t>密度</t>
  </si>
  <si>
    <t>kg/m3</t>
  </si>
  <si>
    <t>v</t>
  </si>
  <si>
    <t>配产量下管道内天然气流速</t>
  </si>
  <si>
    <t>m/s</t>
  </si>
  <si>
    <t>d</t>
  </si>
  <si>
    <t>井下管道直径</t>
  </si>
  <si>
    <t>m</t>
  </si>
  <si>
    <t>η</t>
  </si>
  <si>
    <t>动力粘度系数</t>
  </si>
  <si>
    <t>Pa·s</t>
  </si>
  <si>
    <t>Re</t>
  </si>
  <si>
    <t>湍流雷诺数</t>
  </si>
  <si>
    <t>Cd</t>
  </si>
  <si>
    <t>液滴的曳力系数</t>
  </si>
  <si>
    <t>σ(气水表面张力)</t>
  </si>
  <si>
    <t>σ(23.33)</t>
  </si>
  <si>
    <t>23.33℃水的表面张力</t>
  </si>
  <si>
    <t>mN/m</t>
  </si>
  <si>
    <t>σ(137.78)</t>
  </si>
  <si>
    <t>137.78℃水的表面张力</t>
  </si>
  <si>
    <t>σ（P,T）</t>
  </si>
  <si>
    <t>气水表面张力</t>
  </si>
  <si>
    <t>N/m</t>
  </si>
  <si>
    <t>u（临界携液流速）</t>
  </si>
  <si>
    <t>Wecr</t>
  </si>
  <si>
    <t>临界韦伯数</t>
  </si>
  <si>
    <t>20~30</t>
  </si>
  <si>
    <t>ρliquid</t>
  </si>
  <si>
    <t>液相密度</t>
  </si>
  <si>
    <t>u</t>
  </si>
  <si>
    <t>临界携液流速</t>
  </si>
  <si>
    <t>Z(天然气计算偏差系数，也即工况条件下气体的压缩系数）</t>
  </si>
  <si>
    <t>ρ</t>
  </si>
  <si>
    <t>空气密度</t>
  </si>
  <si>
    <t>γg</t>
  </si>
  <si>
    <t>天然气相对空气密度比值</t>
  </si>
  <si>
    <t>Z</t>
  </si>
  <si>
    <t>天然气计算偏差系数</t>
  </si>
  <si>
    <t>Qsc</t>
  </si>
  <si>
    <t>临界携液流量</t>
  </si>
  <si>
    <t>井口天然气配气量(m3/s)</t>
  </si>
  <si>
    <t>以文献为主</t>
  </si>
  <si>
    <t>m³/d</t>
  </si>
  <si>
    <t>m³/s</t>
  </si>
  <si>
    <t>井筒管道直径(m)</t>
  </si>
  <si>
    <t>mm</t>
  </si>
  <si>
    <t>㎡</t>
  </si>
  <si>
    <t>井口压力(Mpa)</t>
  </si>
  <si>
    <t>井口温度（℃）</t>
  </si>
  <si>
    <t>井口天然气密度(kg/m3)</t>
  </si>
  <si>
    <t>气液流量质量比</t>
  </si>
  <si>
    <t>质量流量不变</t>
  </si>
  <si>
    <t>井口速度(m/s)</t>
  </si>
  <si>
    <t>质量流量(kg/s)</t>
  </si>
  <si>
    <t>标况下密度</t>
  </si>
  <si>
    <t>实际测量天然气</t>
  </si>
  <si>
    <t>积液判断标准</t>
  </si>
  <si>
    <t>深度（m)</t>
  </si>
  <si>
    <t>p（Mpa）</t>
  </si>
  <si>
    <t>T（℃）</t>
  </si>
  <si>
    <t>天然气密度(kg/m3)</t>
  </si>
  <si>
    <t>天然气流量(m3/s)</t>
  </si>
  <si>
    <t>天然气气体速度(m/s)</t>
  </si>
  <si>
    <t>雾化液滴最大直径(mm)</t>
  </si>
  <si>
    <t>临界携液速度(m/s)</t>
  </si>
  <si>
    <t>临界携液流量(m3/s)</t>
  </si>
  <si>
    <t>未积液</t>
  </si>
  <si>
    <t>积液</t>
  </si>
  <si>
    <t xml:space="preserve">地层温度按线性变化, 已知地温梯度 </t>
  </si>
  <si>
    <t>℃/m</t>
  </si>
  <si>
    <t>压力梯度</t>
  </si>
  <si>
    <t>Mpa/m</t>
  </si>
  <si>
    <t>速度梯度</t>
  </si>
  <si>
    <t>雾化液滴最大直径</t>
  </si>
  <si>
    <t>临界携液速度</t>
  </si>
  <si>
    <t>不同井深天然气流量</t>
  </si>
  <si>
    <t>由井口天然气配气产量，结合不同深度天然气密度反推</t>
  </si>
  <si>
    <t>韦伯数</t>
  </si>
  <si>
    <t>vg</t>
  </si>
  <si>
    <t>不同井深天然气气体速度</t>
  </si>
  <si>
    <t>rog</t>
  </si>
  <si>
    <t>不同井深天然气气体密度</t>
  </si>
  <si>
    <t>rol</t>
  </si>
  <si>
    <t>theata</t>
  </si>
  <si>
    <t>液滴气液表面张力</t>
  </si>
  <si>
    <t>反推不同井深天然气流量  除以  管道面积</t>
  </si>
  <si>
    <t>雷诺数计算</t>
  </si>
  <si>
    <t>Re = rog * vg *d / 动力粘度</t>
  </si>
  <si>
    <t>动力粘度</t>
  </si>
  <si>
    <t>由不同井深下的压力和温度推出</t>
  </si>
  <si>
    <t>《天然气动力粘度的简便计算方程》</t>
  </si>
  <si>
    <t>西交1</t>
  </si>
  <si>
    <t>qmax就是临界携液流量</t>
  </si>
  <si>
    <t>公式2</t>
  </si>
  <si>
    <t>公式1：q=临界携液流量</t>
  </si>
  <si>
    <t>节流器嘴径计算公式</t>
  </si>
  <si>
    <t>公式1：q=井口流量</t>
  </si>
  <si>
    <t>公式2：非标况下，q=临界携液流量</t>
  </si>
  <si>
    <t>液嘴直经(mm)</t>
  </si>
  <si>
    <t>Ds</t>
  </si>
  <si>
    <t>Ag</t>
  </si>
  <si>
    <t>roL</t>
  </si>
  <si>
    <t>roG</t>
  </si>
  <si>
    <t>MG/ML</t>
  </si>
  <si>
    <t>10000气:5液</t>
  </si>
  <si>
    <t>z</t>
  </si>
  <si>
    <t>k</t>
  </si>
  <si>
    <t>公式1：标况下，q=临界携液流量</t>
  </si>
  <si>
    <t>公式1：非标况下，q=井口流量</t>
  </si>
  <si>
    <t>公式2：非标况下，q=井口流量</t>
  </si>
  <si>
    <t>利用配产量计算，转化为不同井深处的流量</t>
  </si>
  <si>
    <t>喷嘴前端质量和喉口质量平衡</t>
  </si>
  <si>
    <t>利用液滴最大直径，查找对应的喉口处速度</t>
  </si>
  <si>
    <t>利用质量流量反算喉口速度</t>
  </si>
  <si>
    <t>天然气流量 m³/d</t>
  </si>
  <si>
    <t>井筒中天然气密度</t>
  </si>
  <si>
    <t>Z气体常数，取8.314；γg，气体相对密度，取0.59</t>
  </si>
  <si>
    <t>天然气标况下密度是0.7174Kg/m3</t>
  </si>
  <si>
    <t>cd</t>
  </si>
  <si>
    <t>σ(N/m)</t>
  </si>
  <si>
    <t>σ(mN/m)</t>
  </si>
  <si>
    <t>Q</t>
  </si>
  <si>
    <t>换算成每天</t>
  </si>
  <si>
    <t>dmax</t>
  </si>
  <si>
    <t>标况下</t>
  </si>
  <si>
    <t>空气标况下密度是1.206kg/m3</t>
  </si>
  <si>
    <t>一、基本参数</t>
  </si>
  <si>
    <t>二、计算结果</t>
  </si>
  <si>
    <t>雾化液滴最大直径(m)</t>
  </si>
  <si>
    <t>入口压力(Mpa)</t>
  </si>
  <si>
    <t>气体流量(m³/d)</t>
  </si>
  <si>
    <t>嘴径(mm)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</si>
</sst>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color theme="1"/>
      <name val="方正舒体"/>
      <family val="3"/>
      <charset val="134"/>
    </font>
    <font>
      <sz val="11"/>
      <color rgb="FFFF0000"/>
      <name val="微软雅黑"/>
      <family val="2"/>
      <charset val="134"/>
    </font>
    <font>
      <sz val="8"/>
      <color rgb="FF333333"/>
      <name val="Arial"/>
      <family val="2"/>
    </font>
    <font>
      <sz val="10.45"/>
      <color rgb="FF444444"/>
      <name val="宋体"/>
      <family val="3"/>
      <charset val="134"/>
    </font>
    <font>
      <b/>
      <sz val="11"/>
      <color theme="1"/>
      <name val="微软雅黑"/>
      <family val="2"/>
      <charset val="134"/>
    </font>
    <font>
      <sz val="14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2" fillId="0" borderId="3" xfId="0" applyFont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3" borderId="11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3" borderId="9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3" xfId="0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5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0" xfId="0" applyAlignment="1">
      <alignment horizontal="right" vertical="center"/>
    </xf>
    <xf numFmtId="0" fontId="0" fillId="8" borderId="0" xfId="0" applyFill="1" applyAlignment="1">
      <alignment vertical="center"/>
    </xf>
    <xf numFmtId="0" fontId="6" fillId="0" borderId="0" xfId="0" applyFont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/>
    <xf numFmtId="0" fontId="0" fillId="9" borderId="15" xfId="0" applyFill="1" applyBorder="1" applyAlignment="1">
      <alignment horizontal="center" vertical="center"/>
    </xf>
    <xf numFmtId="0" fontId="0" fillId="0" borderId="10" xfId="0" applyBorder="1" applyAlignment="1"/>
    <xf numFmtId="0" fontId="0" fillId="0" borderId="11" xfId="0" applyBorder="1" applyAlignment="1"/>
    <xf numFmtId="0" fontId="0" fillId="0" borderId="5" xfId="0" applyBorder="1" applyAlignment="1">
      <alignment horizontal="left" vertical="center"/>
    </xf>
    <xf numFmtId="0" fontId="0" fillId="0" borderId="5" xfId="0" applyBorder="1" applyAlignment="1"/>
    <xf numFmtId="0" fontId="0" fillId="0" borderId="6" xfId="0" applyBorder="1" applyAlignment="1">
      <alignment horizontal="left" vertical="center"/>
    </xf>
    <xf numFmtId="0" fontId="0" fillId="0" borderId="6" xfId="0" applyBorder="1" applyAlignment="1"/>
    <xf numFmtId="0" fontId="2" fillId="9" borderId="1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4.png"/><Relationship Id="rId7" Type="http://schemas.openxmlformats.org/officeDocument/2006/relationships/image" Target="../media/image1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3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1.png"/><Relationship Id="rId5" Type="http://schemas.openxmlformats.org/officeDocument/2006/relationships/image" Target="../media/image6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425450</xdr:colOff>
      <xdr:row>7</xdr:row>
      <xdr:rowOff>184150</xdr:rowOff>
    </xdr:from>
    <xdr:to>
      <xdr:col>13</xdr:col>
      <xdr:colOff>679450</xdr:colOff>
      <xdr:row>19</xdr:row>
      <xdr:rowOff>0</xdr:rowOff>
    </xdr:to>
    <xdr:pic>
      <xdr:nvPicPr>
        <xdr:cNvPr id="1025" name="图片 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280400" y="1663700"/>
          <a:ext cx="5321300" cy="23685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24</xdr:row>
      <xdr:rowOff>184150</xdr:rowOff>
    </xdr:from>
    <xdr:to>
      <xdr:col>3</xdr:col>
      <xdr:colOff>742950</xdr:colOff>
      <xdr:row>34</xdr:row>
      <xdr:rowOff>19050</xdr:rowOff>
    </xdr:to>
    <xdr:pic>
      <xdr:nvPicPr>
        <xdr:cNvPr id="2049" name="图片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350" y="5251450"/>
          <a:ext cx="4222750" cy="1930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69850</xdr:colOff>
      <xdr:row>36</xdr:row>
      <xdr:rowOff>19050</xdr:rowOff>
    </xdr:from>
    <xdr:to>
      <xdr:col>3</xdr:col>
      <xdr:colOff>387350</xdr:colOff>
      <xdr:row>52</xdr:row>
      <xdr:rowOff>139700</xdr:rowOff>
    </xdr:to>
    <xdr:pic>
      <xdr:nvPicPr>
        <xdr:cNvPr id="2050" name="图片 2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9850" y="7600950"/>
          <a:ext cx="3803650" cy="34734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4</xdr:col>
      <xdr:colOff>133350</xdr:colOff>
      <xdr:row>27</xdr:row>
      <xdr:rowOff>31750</xdr:rowOff>
    </xdr:from>
    <xdr:to>
      <xdr:col>6</xdr:col>
      <xdr:colOff>1100570</xdr:colOff>
      <xdr:row>39</xdr:row>
      <xdr:rowOff>82550</xdr:rowOff>
    </xdr:to>
    <xdr:pic>
      <xdr:nvPicPr>
        <xdr:cNvPr id="2051" name="图片 3">
          <a:extLst>
            <a:ext uri="{FF2B5EF4-FFF2-40B4-BE49-F238E27FC236}">
              <a16:creationId xmlns:a16="http://schemas.microsoft.com/office/drawing/2014/main" id="{00000000-0008-0000-0100-00000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95850" y="5727700"/>
          <a:ext cx="4565650" cy="25654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9</xdr:col>
      <xdr:colOff>1479550</xdr:colOff>
      <xdr:row>24</xdr:row>
      <xdr:rowOff>12700</xdr:rowOff>
    </xdr:from>
    <xdr:to>
      <xdr:col>14</xdr:col>
      <xdr:colOff>187851</xdr:colOff>
      <xdr:row>33</xdr:row>
      <xdr:rowOff>101600</xdr:rowOff>
    </xdr:to>
    <xdr:pic>
      <xdr:nvPicPr>
        <xdr:cNvPr id="2052" name="图片 4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3411200" y="5080000"/>
          <a:ext cx="6343650" cy="19748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9</xdr:col>
      <xdr:colOff>1409700</xdr:colOff>
      <xdr:row>38</xdr:row>
      <xdr:rowOff>133350</xdr:rowOff>
    </xdr:from>
    <xdr:to>
      <xdr:col>13</xdr:col>
      <xdr:colOff>1064424</xdr:colOff>
      <xdr:row>60</xdr:row>
      <xdr:rowOff>57150</xdr:rowOff>
    </xdr:to>
    <xdr:pic>
      <xdr:nvPicPr>
        <xdr:cNvPr id="2053" name="图片 5">
          <a:extLst>
            <a:ext uri="{FF2B5EF4-FFF2-40B4-BE49-F238E27FC236}">
              <a16:creationId xmlns:a16="http://schemas.microsoft.com/office/drawing/2014/main" id="{00000000-0008-0000-0100-000005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3385800" y="8134350"/>
          <a:ext cx="5905500" cy="45339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19</xdr:col>
      <xdr:colOff>0</xdr:colOff>
      <xdr:row>24</xdr:row>
      <xdr:rowOff>0</xdr:rowOff>
    </xdr:from>
    <xdr:to>
      <xdr:col>26</xdr:col>
      <xdr:colOff>594302</xdr:colOff>
      <xdr:row>30</xdr:row>
      <xdr:rowOff>177800</xdr:rowOff>
    </xdr:to>
    <xdr:pic>
      <xdr:nvPicPr>
        <xdr:cNvPr id="2054" name="图片 6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20872450" y="5067300"/>
          <a:ext cx="6858000" cy="1435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19</xdr:col>
      <xdr:colOff>0</xdr:colOff>
      <xdr:row>40</xdr:row>
      <xdr:rowOff>57150</xdr:rowOff>
    </xdr:from>
    <xdr:to>
      <xdr:col>24</xdr:col>
      <xdr:colOff>670502</xdr:colOff>
      <xdr:row>51</xdr:row>
      <xdr:rowOff>165100</xdr:rowOff>
    </xdr:to>
    <xdr:pic>
      <xdr:nvPicPr>
        <xdr:cNvPr id="2055" name="图片 7">
          <a:extLst>
            <a:ext uri="{FF2B5EF4-FFF2-40B4-BE49-F238E27FC236}">
              <a16:creationId xmlns:a16="http://schemas.microsoft.com/office/drawing/2014/main" id="{00000000-0008-0000-0100-000007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20872450" y="8477250"/>
          <a:ext cx="5410200" cy="24130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19</xdr:col>
      <xdr:colOff>146050</xdr:colOff>
      <xdr:row>52</xdr:row>
      <xdr:rowOff>133350</xdr:rowOff>
    </xdr:from>
    <xdr:to>
      <xdr:col>25</xdr:col>
      <xdr:colOff>19915</xdr:colOff>
      <xdr:row>57</xdr:row>
      <xdr:rowOff>184150</xdr:rowOff>
    </xdr:to>
    <xdr:pic>
      <xdr:nvPicPr>
        <xdr:cNvPr id="2056" name="图片 8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21018500" y="11068050"/>
          <a:ext cx="5378450" cy="1098550"/>
        </a:xfrm>
        <a:prstGeom prst="rect">
          <a:avLst/>
        </a:prstGeom>
        <a:solidFill>
          <a:srgbClr val="FF0000"/>
        </a:solidFill>
        <a:ln w="15875">
          <a:solidFill>
            <a:srgbClr val="FF0000"/>
          </a:solidFill>
          <a:prstDash val="solid"/>
          <a:miter lim="800000"/>
          <a:headEnd/>
          <a:tailEnd/>
        </a:ln>
      </xdr:spPr>
    </xdr:pic>
    <xdr:clientData/>
  </xdr:twoCellAnchor>
  <xdr:twoCellAnchor editAs="oneCell">
    <xdr:from>
      <xdr:col>28</xdr:col>
      <xdr:colOff>580213</xdr:colOff>
      <xdr:row>25</xdr:row>
      <xdr:rowOff>140734</xdr:rowOff>
    </xdr:from>
    <xdr:to>
      <xdr:col>35</xdr:col>
      <xdr:colOff>156241</xdr:colOff>
      <xdr:row>42</xdr:row>
      <xdr:rowOff>96284</xdr:rowOff>
    </xdr:to>
    <xdr:pic>
      <xdr:nvPicPr>
        <xdr:cNvPr id="2057" name="图片 10">
          <a:extLst>
            <a:ext uri="{FF2B5EF4-FFF2-40B4-BE49-F238E27FC236}">
              <a16:creationId xmlns:a16="http://schemas.microsoft.com/office/drawing/2014/main" id="{00000000-0008-0000-0100-000009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36206666" y="5353641"/>
          <a:ext cx="5090191" cy="3470201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749300</xdr:colOff>
      <xdr:row>77</xdr:row>
      <xdr:rowOff>114300</xdr:rowOff>
    </xdr:from>
    <xdr:to>
      <xdr:col>6</xdr:col>
      <xdr:colOff>827520</xdr:colOff>
      <xdr:row>97</xdr:row>
      <xdr:rowOff>139700</xdr:rowOff>
    </xdr:to>
    <xdr:pic>
      <xdr:nvPicPr>
        <xdr:cNvPr id="2058" name="图片 1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2438400" y="16287750"/>
          <a:ext cx="6750050" cy="42291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</xdr:col>
      <xdr:colOff>12700</xdr:colOff>
      <xdr:row>101</xdr:row>
      <xdr:rowOff>0</xdr:rowOff>
    </xdr:from>
    <xdr:to>
      <xdr:col>9</xdr:col>
      <xdr:colOff>433243</xdr:colOff>
      <xdr:row>119</xdr:row>
      <xdr:rowOff>158750</xdr:rowOff>
    </xdr:to>
    <xdr:pic>
      <xdr:nvPicPr>
        <xdr:cNvPr id="2059" name="图片 12">
          <a:extLst>
            <a:ext uri="{FF2B5EF4-FFF2-40B4-BE49-F238E27FC236}">
              <a16:creationId xmlns:a16="http://schemas.microsoft.com/office/drawing/2014/main" id="{00000000-0008-0000-0100-00000B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/>
        <a:srcRect/>
        <a:stretch>
          <a:fillRect/>
        </a:stretch>
      </xdr:blipFill>
      <xdr:spPr bwMode="auto">
        <a:xfrm>
          <a:off x="1701800" y="21215350"/>
          <a:ext cx="11436350" cy="39306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</xdr:col>
      <xdr:colOff>381000</xdr:colOff>
      <xdr:row>55</xdr:row>
      <xdr:rowOff>158750</xdr:rowOff>
    </xdr:from>
    <xdr:to>
      <xdr:col>7</xdr:col>
      <xdr:colOff>750743</xdr:colOff>
      <xdr:row>71</xdr:row>
      <xdr:rowOff>57150</xdr:rowOff>
    </xdr:to>
    <xdr:pic>
      <xdr:nvPicPr>
        <xdr:cNvPr id="2060" name="图片 14">
          <a:extLst>
            <a:ext uri="{FF2B5EF4-FFF2-40B4-BE49-F238E27FC236}">
              <a16:creationId xmlns:a16="http://schemas.microsoft.com/office/drawing/2014/main" id="{00000000-0008-0000-0100-00000C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/>
        <a:srcRect/>
        <a:stretch>
          <a:fillRect/>
        </a:stretch>
      </xdr:blipFill>
      <xdr:spPr bwMode="auto">
        <a:xfrm>
          <a:off x="2832100" y="11722100"/>
          <a:ext cx="7766050" cy="325120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18</xdr:col>
      <xdr:colOff>685800</xdr:colOff>
      <xdr:row>63</xdr:row>
      <xdr:rowOff>0</xdr:rowOff>
    </xdr:from>
    <xdr:to>
      <xdr:col>25</xdr:col>
      <xdr:colOff>333952</xdr:colOff>
      <xdr:row>68</xdr:row>
      <xdr:rowOff>190500</xdr:rowOff>
    </xdr:to>
    <xdr:pic>
      <xdr:nvPicPr>
        <xdr:cNvPr id="2061" name="图片 16">
          <a:extLst>
            <a:ext uri="{FF2B5EF4-FFF2-40B4-BE49-F238E27FC236}">
              <a16:creationId xmlns:a16="http://schemas.microsoft.com/office/drawing/2014/main" id="{00000000-0008-0000-0100-00000D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/>
        <a:srcRect/>
        <a:stretch>
          <a:fillRect/>
        </a:stretch>
      </xdr:blipFill>
      <xdr:spPr bwMode="auto">
        <a:xfrm>
          <a:off x="20504150" y="13239750"/>
          <a:ext cx="6203950" cy="12382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3</xdr:col>
      <xdr:colOff>762000</xdr:colOff>
      <xdr:row>17</xdr:row>
      <xdr:rowOff>57150</xdr:rowOff>
    </xdr:from>
    <xdr:to>
      <xdr:col>5</xdr:col>
      <xdr:colOff>296430</xdr:colOff>
      <xdr:row>23</xdr:row>
      <xdr:rowOff>76200</xdr:rowOff>
    </xdr:to>
    <xdr:pic>
      <xdr:nvPicPr>
        <xdr:cNvPr id="2062" name="图片 15">
          <a:extLst>
            <a:ext uri="{FF2B5EF4-FFF2-40B4-BE49-F238E27FC236}">
              <a16:creationId xmlns:a16="http://schemas.microsoft.com/office/drawing/2014/main" id="{00000000-0008-0000-0100-00000E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4248150" y="3657600"/>
          <a:ext cx="2476500" cy="12763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19</xdr:col>
      <xdr:colOff>339437</xdr:colOff>
      <xdr:row>1</xdr:row>
      <xdr:rowOff>183861</xdr:rowOff>
    </xdr:from>
    <xdr:to>
      <xdr:col>26</xdr:col>
      <xdr:colOff>267566</xdr:colOff>
      <xdr:row>18</xdr:row>
      <xdr:rowOff>114011</xdr:rowOff>
    </xdr:to>
    <xdr:pic>
      <xdr:nvPicPr>
        <xdr:cNvPr id="2063" name="图片 18">
          <a:extLst>
            <a:ext uri="{FF2B5EF4-FFF2-40B4-BE49-F238E27FC236}">
              <a16:creationId xmlns:a16="http://schemas.microsoft.com/office/drawing/2014/main" id="{00000000-0008-0000-0100-00000F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/>
        <a:srcRect/>
        <a:stretch>
          <a:fillRect/>
        </a:stretch>
      </xdr:blipFill>
      <xdr:spPr bwMode="auto">
        <a:xfrm>
          <a:off x="24771062" y="390236"/>
          <a:ext cx="6182879" cy="34861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28</xdr:col>
      <xdr:colOff>168275</xdr:colOff>
      <xdr:row>0</xdr:row>
      <xdr:rowOff>158750</xdr:rowOff>
    </xdr:from>
    <xdr:to>
      <xdr:col>37</xdr:col>
      <xdr:colOff>381865</xdr:colOff>
      <xdr:row>19</xdr:row>
      <xdr:rowOff>9525</xdr:rowOff>
    </xdr:to>
    <xdr:pic>
      <xdr:nvPicPr>
        <xdr:cNvPr id="2064" name="图片 9">
          <a:extLst>
            <a:ext uri="{FF2B5EF4-FFF2-40B4-BE49-F238E27FC236}">
              <a16:creationId xmlns:a16="http://schemas.microsoft.com/office/drawing/2014/main" id="{00000000-0008-0000-0100-000010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/>
        <a:srcRect/>
        <a:stretch>
          <a:fillRect/>
        </a:stretch>
      </xdr:blipFill>
      <xdr:spPr bwMode="auto">
        <a:xfrm>
          <a:off x="32378650" y="158750"/>
          <a:ext cx="7531965" cy="3819525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7</xdr:col>
      <xdr:colOff>1346200</xdr:colOff>
      <xdr:row>85</xdr:row>
      <xdr:rowOff>152400</xdr:rowOff>
    </xdr:from>
    <xdr:to>
      <xdr:col>11</xdr:col>
      <xdr:colOff>1186585</xdr:colOff>
      <xdr:row>98</xdr:row>
      <xdr:rowOff>190500</xdr:rowOff>
    </xdr:to>
    <xdr:pic>
      <xdr:nvPicPr>
        <xdr:cNvPr id="2065" name="图片 17">
          <a:extLst>
            <a:ext uri="{FF2B5EF4-FFF2-40B4-BE49-F238E27FC236}">
              <a16:creationId xmlns:a16="http://schemas.microsoft.com/office/drawing/2014/main" id="{00000000-0008-0000-0100-000011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10464800" y="18002250"/>
          <a:ext cx="5600700" cy="2774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25</xdr:col>
      <xdr:colOff>517978</xdr:colOff>
      <xdr:row>63</xdr:row>
      <xdr:rowOff>199572</xdr:rowOff>
    </xdr:from>
    <xdr:to>
      <xdr:col>30</xdr:col>
      <xdr:colOff>569586</xdr:colOff>
      <xdr:row>75</xdr:row>
      <xdr:rowOff>1388</xdr:rowOff>
    </xdr:to>
    <xdr:pic>
      <xdr:nvPicPr>
        <xdr:cNvPr id="2066" name="图片 19">
          <a:extLst>
            <a:ext uri="{FF2B5EF4-FFF2-40B4-BE49-F238E27FC236}">
              <a16:creationId xmlns:a16="http://schemas.microsoft.com/office/drawing/2014/main" id="{00000000-0008-0000-0100-00001208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 t="-60512" b="1"/>
        <a:stretch>
          <a:fillRect/>
        </a:stretch>
      </xdr:blipFill>
      <xdr:spPr bwMode="auto">
        <a:xfrm>
          <a:off x="32648978" y="13380358"/>
          <a:ext cx="5285822" cy="2302328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25</xdr:col>
      <xdr:colOff>275519</xdr:colOff>
      <xdr:row>59</xdr:row>
      <xdr:rowOff>155544</xdr:rowOff>
    </xdr:from>
    <xdr:to>
      <xdr:col>29</xdr:col>
      <xdr:colOff>173581</xdr:colOff>
      <xdr:row>63</xdr:row>
      <xdr:rowOff>150101</xdr:rowOff>
    </xdr:to>
    <xdr:pic>
      <xdr:nvPicPr>
        <xdr:cNvPr id="2067" name="图片 20">
          <a:extLst>
            <a:ext uri="{FF2B5EF4-FFF2-40B4-BE49-F238E27FC236}">
              <a16:creationId xmlns:a16="http://schemas.microsoft.com/office/drawing/2014/main" id="{00000000-0008-0000-0100-000013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/>
        <a:srcRect/>
        <a:stretch>
          <a:fillRect/>
        </a:stretch>
      </xdr:blipFill>
      <xdr:spPr bwMode="auto">
        <a:xfrm>
          <a:off x="32406519" y="12501758"/>
          <a:ext cx="4370276" cy="829129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17</xdr:col>
      <xdr:colOff>251031</xdr:colOff>
      <xdr:row>70</xdr:row>
      <xdr:rowOff>67348</xdr:rowOff>
    </xdr:from>
    <xdr:to>
      <xdr:col>25</xdr:col>
      <xdr:colOff>284436</xdr:colOff>
      <xdr:row>75</xdr:row>
      <xdr:rowOff>41840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/>
        <a:srcRect l="16807" t="397" r="13983" b="86092"/>
        <a:stretch>
          <a:fillRect/>
        </a:stretch>
      </xdr:blipFill>
      <xdr:spPr>
        <a:xfrm>
          <a:off x="23543986" y="14922500"/>
          <a:ext cx="8884920" cy="1032825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120649</xdr:colOff>
      <xdr:row>24</xdr:row>
      <xdr:rowOff>89934</xdr:rowOff>
    </xdr:from>
    <xdr:to>
      <xdr:col>14</xdr:col>
      <xdr:colOff>550972</xdr:colOff>
      <xdr:row>53</xdr:row>
      <xdr:rowOff>3840</xdr:rowOff>
    </xdr:to>
    <xdr:pic>
      <xdr:nvPicPr>
        <xdr:cNvPr id="3073" name="图片 1">
          <a:extLst>
            <a:ext uri="{FF2B5EF4-FFF2-40B4-BE49-F238E27FC236}">
              <a16:creationId xmlns:a16="http://schemas.microsoft.com/office/drawing/2014/main" id="{00000000-0008-0000-04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270300" y="5073946"/>
          <a:ext cx="7275032" cy="59094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33"/>
  <sheetViews>
    <sheetView zoomScale="70" zoomScaleNormal="70" workbookViewId="0">
      <selection activeCell="C33" sqref="C33"/>
    </sheetView>
  </sheetViews>
  <sheetFormatPr defaultRowHeight="16.5" x14ac:dyDescent="0.45"/>
  <cols>
    <col min="1" max="1" width="12.84375" style="46" bestFit="1" customWidth="1"/>
    <col min="2" max="2" width="26.765625" style="46" bestFit="1" customWidth="1"/>
    <col min="5" max="5" width="10.53515625" style="46" bestFit="1" customWidth="1"/>
    <col min="6" max="6" width="13.69140625" style="46" bestFit="1" customWidth="1"/>
    <col min="7" max="7" width="12.84375" style="46" bestFit="1" customWidth="1"/>
    <col min="8" max="8" width="12.765625" style="46" bestFit="1" customWidth="1"/>
    <col min="9" max="9" width="11.69140625" style="46" bestFit="1" customWidth="1"/>
  </cols>
  <sheetData>
    <row r="2" spans="1:9" ht="17" customHeight="1" thickBot="1" x14ac:dyDescent="0.5">
      <c r="A2" s="50" t="s">
        <v>0</v>
      </c>
      <c r="B2" s="51"/>
      <c r="C2" s="52"/>
      <c r="D2" s="52"/>
    </row>
    <row r="3" spans="1:9" x14ac:dyDescent="0.45">
      <c r="A3" s="28" t="s">
        <v>1</v>
      </c>
      <c r="B3" s="42">
        <v>0</v>
      </c>
      <c r="C3" s="53" t="s">
        <v>2</v>
      </c>
      <c r="D3" s="54"/>
    </row>
    <row r="4" spans="1:9" x14ac:dyDescent="0.45">
      <c r="A4" s="4" t="s">
        <v>3</v>
      </c>
      <c r="B4" s="47" t="s">
        <v>4</v>
      </c>
      <c r="C4" s="47">
        <v>20</v>
      </c>
      <c r="D4" s="5" t="s">
        <v>5</v>
      </c>
    </row>
    <row r="5" spans="1:9" x14ac:dyDescent="0.45">
      <c r="A5" s="4" t="s">
        <v>6</v>
      </c>
      <c r="B5" s="47" t="s">
        <v>7</v>
      </c>
      <c r="C5" s="47">
        <v>2</v>
      </c>
      <c r="D5" s="5" t="s">
        <v>8</v>
      </c>
    </row>
    <row r="6" spans="1:9" x14ac:dyDescent="0.45">
      <c r="A6" s="58" t="s">
        <v>9</v>
      </c>
      <c r="B6" s="60" t="s">
        <v>10</v>
      </c>
      <c r="C6" s="47">
        <v>10000</v>
      </c>
      <c r="D6" s="5" t="s">
        <v>11</v>
      </c>
    </row>
    <row r="7" spans="1:9" ht="17" customHeight="1" thickBot="1" x14ac:dyDescent="0.5">
      <c r="A7" s="59"/>
      <c r="B7" s="61"/>
      <c r="C7" s="7">
        <f>C6/24/3600</f>
        <v>0.11574074074074074</v>
      </c>
      <c r="D7" s="8" t="s">
        <v>12</v>
      </c>
      <c r="F7" s="47">
        <f>C14/6530</f>
        <v>3.5205279827943134</v>
      </c>
      <c r="G7" s="47">
        <f>8*(POWER(10,-6))*(F7^2+F8-8*F9)</f>
        <v>-1.7198440462162795E-4</v>
      </c>
      <c r="I7" s="47">
        <f>G7-G11+G13+G16-G19+2.4795</f>
        <v>4.6924745183183409</v>
      </c>
    </row>
    <row r="8" spans="1:9" ht="17" customHeight="1" thickBot="1" x14ac:dyDescent="0.5">
      <c r="A8" s="45"/>
      <c r="B8" s="45"/>
      <c r="C8" s="45"/>
      <c r="D8" s="45"/>
      <c r="F8" s="47">
        <f>TANH(C14)</f>
        <v>1</v>
      </c>
    </row>
    <row r="9" spans="1:9" ht="17" customHeight="1" thickBot="1" x14ac:dyDescent="0.5">
      <c r="A9" s="55" t="s">
        <v>13</v>
      </c>
      <c r="B9" s="56"/>
      <c r="C9" s="56"/>
      <c r="D9" s="57"/>
      <c r="F9" s="47">
        <f>LN(C14)/LN(10)</f>
        <v>4.3615209819176615</v>
      </c>
    </row>
    <row r="10" spans="1:9" x14ac:dyDescent="0.45">
      <c r="A10" s="47" t="s">
        <v>14</v>
      </c>
      <c r="B10" s="2" t="s">
        <v>15</v>
      </c>
      <c r="C10" s="42">
        <v>0.78</v>
      </c>
      <c r="D10" s="3" t="s">
        <v>16</v>
      </c>
    </row>
    <row r="11" spans="1:9" x14ac:dyDescent="0.45">
      <c r="A11" s="4" t="s">
        <v>17</v>
      </c>
      <c r="B11" s="47" t="s">
        <v>18</v>
      </c>
      <c r="C11" s="45">
        <f>C7/(3.1415926*C12^2/4)</f>
        <v>14.736569056183889</v>
      </c>
      <c r="D11" s="5" t="s">
        <v>19</v>
      </c>
      <c r="F11" s="47">
        <f>2.08*POWER(10,43)/POWER((C14+C14*C14),4)</f>
        <v>266575305.63378406</v>
      </c>
      <c r="G11" s="47">
        <f>0.4119*EXP(-F11)</f>
        <v>0</v>
      </c>
    </row>
    <row r="12" spans="1:9" x14ac:dyDescent="0.45">
      <c r="A12" s="4" t="s">
        <v>20</v>
      </c>
      <c r="B12" s="47" t="s">
        <v>21</v>
      </c>
      <c r="C12" s="47">
        <v>0.1</v>
      </c>
      <c r="D12" s="5" t="s">
        <v>22</v>
      </c>
    </row>
    <row r="13" spans="1:9" ht="17" customHeight="1" thickBot="1" x14ac:dyDescent="0.5">
      <c r="A13" s="6" t="s">
        <v>23</v>
      </c>
      <c r="B13" s="7" t="s">
        <v>24</v>
      </c>
      <c r="C13" s="7">
        <v>5.0000000000000002E-5</v>
      </c>
      <c r="D13" s="8" t="s">
        <v>25</v>
      </c>
      <c r="F13" s="47">
        <f>LN(C14*C14+10.7563)/LN(10)</f>
        <v>8.7230419726743662</v>
      </c>
      <c r="G13" s="47">
        <f>2.1344*EXP(-F14)</f>
        <v>2.1264230843749643</v>
      </c>
    </row>
    <row r="14" spans="1:9" x14ac:dyDescent="0.45">
      <c r="A14" s="11" t="s">
        <v>26</v>
      </c>
      <c r="B14" s="12" t="s">
        <v>27</v>
      </c>
      <c r="C14" s="12">
        <f>C10*C11*C12/C13</f>
        <v>22989.047727646866</v>
      </c>
      <c r="D14" s="13"/>
      <c r="F14" s="47">
        <f>(F13^2+9.9867)/C14</f>
        <v>3.7443117382161164E-3</v>
      </c>
    </row>
    <row r="15" spans="1:9" x14ac:dyDescent="0.45">
      <c r="A15" s="23" t="s">
        <v>28</v>
      </c>
      <c r="B15" s="22" t="s">
        <v>29</v>
      </c>
      <c r="C15" s="22">
        <f>I7</f>
        <v>4.6924745183183409</v>
      </c>
      <c r="D15" s="24"/>
    </row>
    <row r="16" spans="1:9" ht="17" customHeight="1" thickBot="1" x14ac:dyDescent="0.5">
      <c r="A16" s="14"/>
      <c r="B16" s="15"/>
      <c r="C16" s="15"/>
      <c r="D16" s="16"/>
      <c r="F16" s="47">
        <f>(C14/1620)^2+10370</f>
        <v>10571.377958933099</v>
      </c>
      <c r="G16" s="47">
        <f>0.1357*EXP(-F17)</f>
        <v>8.567854695170056E-2</v>
      </c>
    </row>
    <row r="17" spans="1:7" ht="17" customHeight="1" thickBot="1" x14ac:dyDescent="0.5">
      <c r="F17" s="47">
        <f>F16/C14</f>
        <v>0.45984409985890151</v>
      </c>
    </row>
    <row r="18" spans="1:7" ht="17" customHeight="1" thickBot="1" x14ac:dyDescent="0.5">
      <c r="A18" s="62" t="s">
        <v>30</v>
      </c>
      <c r="B18" s="56"/>
      <c r="C18" s="56"/>
      <c r="D18" s="57"/>
    </row>
    <row r="19" spans="1:7" x14ac:dyDescent="0.45">
      <c r="A19" s="10" t="s">
        <v>31</v>
      </c>
      <c r="B19" s="47" t="s">
        <v>32</v>
      </c>
      <c r="C19" s="47">
        <f>76*EXP(-0.0362575*C5)</f>
        <v>70.683936479181995</v>
      </c>
      <c r="D19" s="5" t="s">
        <v>33</v>
      </c>
      <c r="F19" s="47">
        <f>2*LN(TANH(TANH(C14)))/LN(10)</f>
        <v>-0.2365527942836689</v>
      </c>
      <c r="G19" s="47">
        <f>0.0085*F20/C14</f>
        <v>-1.0448713962981596E-3</v>
      </c>
    </row>
    <row r="20" spans="1:7" ht="17" customHeight="1" thickBot="1" x14ac:dyDescent="0.5">
      <c r="A20" s="6" t="s">
        <v>34</v>
      </c>
      <c r="B20" s="7" t="s">
        <v>35</v>
      </c>
      <c r="C20" s="7">
        <f>52.5-0.87018*C5</f>
        <v>50.759639999999997</v>
      </c>
      <c r="D20" s="8" t="s">
        <v>33</v>
      </c>
      <c r="F20" s="47">
        <f>F19-2825.7162</f>
        <v>-2825.9527527942837</v>
      </c>
    </row>
    <row r="21" spans="1:7" ht="17" customHeight="1" thickBot="1" x14ac:dyDescent="0.5">
      <c r="A21" s="17" t="s">
        <v>36</v>
      </c>
      <c r="B21" s="18" t="s">
        <v>37</v>
      </c>
      <c r="C21" s="18">
        <f>(1.8*(410.93-C4)/206*(C19-C20)+C20)/1000</f>
        <v>0.11881890893539762</v>
      </c>
      <c r="D21" s="19" t="s">
        <v>38</v>
      </c>
    </row>
    <row r="22" spans="1:7" ht="17" customHeight="1" thickBot="1" x14ac:dyDescent="0.5"/>
    <row r="23" spans="1:7" ht="17" customHeight="1" thickBot="1" x14ac:dyDescent="0.5">
      <c r="A23" s="55" t="s">
        <v>39</v>
      </c>
      <c r="B23" s="56"/>
      <c r="C23" s="56"/>
      <c r="D23" s="57"/>
    </row>
    <row r="24" spans="1:7" x14ac:dyDescent="0.45">
      <c r="A24" s="9" t="s">
        <v>40</v>
      </c>
      <c r="B24" s="2" t="s">
        <v>41</v>
      </c>
      <c r="C24" s="2">
        <v>25</v>
      </c>
      <c r="D24" s="3" t="s">
        <v>42</v>
      </c>
    </row>
    <row r="25" spans="1:7" ht="17" customHeight="1" thickBot="1" x14ac:dyDescent="0.5">
      <c r="A25" s="20" t="s">
        <v>43</v>
      </c>
      <c r="B25" s="7" t="s">
        <v>44</v>
      </c>
      <c r="C25" s="7">
        <v>1000</v>
      </c>
      <c r="D25" s="8" t="s">
        <v>16</v>
      </c>
    </row>
    <row r="26" spans="1:7" ht="17" customHeight="1" thickBot="1" x14ac:dyDescent="0.5">
      <c r="A26" s="21" t="s">
        <v>45</v>
      </c>
      <c r="B26" s="18" t="s">
        <v>46</v>
      </c>
      <c r="C26" s="18">
        <f>2.47*POWER((0.1*SIN(B3)+C24*COS(B3))/C15,0.25)*POWER((C21*(C25-C10)/C10^2),0.25)</f>
        <v>14.025580427004407</v>
      </c>
      <c r="D26" s="19" t="s">
        <v>19</v>
      </c>
    </row>
    <row r="27" spans="1:7" ht="17" customHeight="1" thickBot="1" x14ac:dyDescent="0.5"/>
    <row r="28" spans="1:7" ht="17" customHeight="1" thickBot="1" x14ac:dyDescent="0.5">
      <c r="A28" s="55" t="s">
        <v>47</v>
      </c>
      <c r="B28" s="56"/>
      <c r="C28" s="56"/>
      <c r="D28" s="57"/>
    </row>
    <row r="29" spans="1:7" x14ac:dyDescent="0.45">
      <c r="A29" s="9" t="s">
        <v>48</v>
      </c>
      <c r="B29" s="2" t="s">
        <v>49</v>
      </c>
      <c r="C29" s="2">
        <v>1</v>
      </c>
      <c r="D29" s="3" t="s">
        <v>16</v>
      </c>
    </row>
    <row r="30" spans="1:7" ht="17" customHeight="1" thickBot="1" x14ac:dyDescent="0.5">
      <c r="A30" s="6" t="s">
        <v>50</v>
      </c>
      <c r="B30" s="7" t="s">
        <v>51</v>
      </c>
      <c r="C30" s="7">
        <v>0.6</v>
      </c>
      <c r="D30" s="8"/>
    </row>
    <row r="31" spans="1:7" ht="17" customHeight="1" thickBot="1" x14ac:dyDescent="0.5">
      <c r="A31" s="21" t="s">
        <v>52</v>
      </c>
      <c r="B31" s="18" t="s">
        <v>53</v>
      </c>
      <c r="C31" s="18">
        <f>1/(1+(5.072*POWER(10,6)*(C5+0.098)*POWER(10,1.785*C30))/POWER((C4+273.15),3.875))</f>
        <v>0.96663628034766491</v>
      </c>
      <c r="D31" s="19"/>
    </row>
    <row r="32" spans="1:7" ht="17" customHeight="1" thickBot="1" x14ac:dyDescent="0.5"/>
    <row r="33" spans="1:4" ht="17" customHeight="1" thickBot="1" x14ac:dyDescent="0.5">
      <c r="A33" s="25" t="s">
        <v>54</v>
      </c>
      <c r="B33" s="26" t="s">
        <v>55</v>
      </c>
      <c r="C33" s="26">
        <f>2.5*10^8*3.1415926*C12^2/4*C5*C26/C31/(C4+273.15)</f>
        <v>194369.32720152018</v>
      </c>
      <c r="D33" s="27" t="s">
        <v>11</v>
      </c>
    </row>
  </sheetData>
  <mergeCells count="8">
    <mergeCell ref="A2:D2"/>
    <mergeCell ref="C3:D3"/>
    <mergeCell ref="A28:D28"/>
    <mergeCell ref="A6:A7"/>
    <mergeCell ref="B6:B7"/>
    <mergeCell ref="A18:D18"/>
    <mergeCell ref="A23:D23"/>
    <mergeCell ref="A9:D9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109"/>
  <sheetViews>
    <sheetView tabSelected="1" zoomScale="66" zoomScaleNormal="70" workbookViewId="0">
      <selection activeCell="X79" sqref="X79"/>
    </sheetView>
  </sheetViews>
  <sheetFormatPr defaultRowHeight="16.5" x14ac:dyDescent="0.45"/>
  <cols>
    <col min="1" max="1" width="20.4609375" style="46" bestFit="1" customWidth="1"/>
    <col min="3" max="3" width="12.53515625" style="46" bestFit="1" customWidth="1"/>
    <col min="4" max="4" width="15.4609375" style="46" bestFit="1" customWidth="1"/>
    <col min="5" max="5" width="20.23046875" style="46" customWidth="1"/>
    <col min="6" max="6" width="23.3828125" style="46" customWidth="1"/>
    <col min="7" max="7" width="18" style="46" customWidth="1"/>
    <col min="8" max="8" width="18.3046875" style="47" bestFit="1" customWidth="1"/>
    <col min="9" max="9" width="16.3046875" style="46" bestFit="1" customWidth="1"/>
    <col min="10" max="10" width="17.3828125" style="46" bestFit="1" customWidth="1"/>
    <col min="11" max="11" width="17.61328125" style="46" bestFit="1" customWidth="1"/>
    <col min="12" max="12" width="20.53515625" style="46" bestFit="1" customWidth="1"/>
    <col min="13" max="13" width="20.07421875" style="46" bestFit="1" customWidth="1"/>
    <col min="14" max="14" width="16.3046875" style="46" bestFit="1" customWidth="1"/>
    <col min="15" max="15" width="17.69140625" style="46" customWidth="1"/>
    <col min="16" max="16" width="9.3046875" style="46" bestFit="1" customWidth="1"/>
    <col min="18" max="18" width="27.69140625" style="46" bestFit="1" customWidth="1"/>
    <col min="19" max="19" width="12.765625" style="46" bestFit="1" customWidth="1"/>
    <col min="20" max="21" width="9.3046875" style="46" bestFit="1" customWidth="1"/>
    <col min="23" max="23" width="16.84375" style="46" bestFit="1" customWidth="1"/>
    <col min="24" max="24" width="12.69140625" style="46" bestFit="1" customWidth="1"/>
    <col min="28" max="28" width="24.15234375" style="46" bestFit="1" customWidth="1"/>
    <col min="29" max="29" width="11.53515625" style="46" customWidth="1"/>
    <col min="36" max="36" width="12.53515625" style="46" bestFit="1" customWidth="1"/>
  </cols>
  <sheetData>
    <row r="1" spans="1:36" x14ac:dyDescent="0.45">
      <c r="A1" s="47" t="s">
        <v>56</v>
      </c>
      <c r="B1" s="47">
        <v>2</v>
      </c>
      <c r="C1" s="47" t="s">
        <v>57</v>
      </c>
      <c r="D1" s="47">
        <v>20000</v>
      </c>
      <c r="E1" s="47" t="s">
        <v>58</v>
      </c>
      <c r="F1" s="47">
        <f>D1/(24*3600)</f>
        <v>0.23148148148148148</v>
      </c>
      <c r="G1" s="47" t="s">
        <v>59</v>
      </c>
      <c r="I1" s="47"/>
      <c r="J1" s="47"/>
    </row>
    <row r="2" spans="1:36" x14ac:dyDescent="0.45">
      <c r="A2" s="47" t="s">
        <v>60</v>
      </c>
      <c r="D2" s="47">
        <v>62</v>
      </c>
      <c r="E2" s="47" t="s">
        <v>61</v>
      </c>
      <c r="F2" s="47">
        <f>D2/1000</f>
        <v>6.2E-2</v>
      </c>
      <c r="G2" s="47" t="s">
        <v>22</v>
      </c>
      <c r="H2" s="47">
        <f>(F2/2)^2*PI()</f>
        <v>3.0190705400997908E-3</v>
      </c>
      <c r="I2" s="47" t="s">
        <v>62</v>
      </c>
      <c r="J2" s="47"/>
    </row>
    <row r="3" spans="1:36" ht="19.5" customHeight="1" x14ac:dyDescent="0.45">
      <c r="A3" s="47" t="s">
        <v>63</v>
      </c>
      <c r="D3" s="47">
        <v>3.8</v>
      </c>
      <c r="E3" s="47" t="s">
        <v>8</v>
      </c>
      <c r="I3" s="47"/>
      <c r="J3" s="47"/>
    </row>
    <row r="4" spans="1:36" x14ac:dyDescent="0.45">
      <c r="A4" s="47" t="s">
        <v>64</v>
      </c>
      <c r="D4" s="47">
        <v>20</v>
      </c>
      <c r="E4" s="47" t="s">
        <v>5</v>
      </c>
      <c r="I4" s="47"/>
      <c r="J4" s="47"/>
    </row>
    <row r="5" spans="1:36" x14ac:dyDescent="0.45">
      <c r="A5" s="47" t="s">
        <v>65</v>
      </c>
      <c r="D5" s="47">
        <f>D11</f>
        <v>183.66278355790553</v>
      </c>
      <c r="I5" s="47"/>
      <c r="J5" s="47"/>
    </row>
    <row r="6" spans="1:36" x14ac:dyDescent="0.45">
      <c r="A6" s="47" t="s">
        <v>66</v>
      </c>
      <c r="D6" s="30">
        <v>0.2</v>
      </c>
      <c r="F6" s="31" t="s">
        <v>67</v>
      </c>
      <c r="I6" s="47"/>
      <c r="J6" s="47"/>
    </row>
    <row r="7" spans="1:36" x14ac:dyDescent="0.45">
      <c r="A7" s="47" t="s">
        <v>68</v>
      </c>
      <c r="D7" s="47">
        <v>0.38</v>
      </c>
      <c r="E7" s="47" t="s">
        <v>19</v>
      </c>
      <c r="F7" s="31"/>
      <c r="I7" s="47"/>
      <c r="J7" s="47"/>
    </row>
    <row r="8" spans="1:36" x14ac:dyDescent="0.45">
      <c r="A8" s="47" t="s">
        <v>69</v>
      </c>
      <c r="D8" s="47">
        <f>F1*G8</f>
        <v>0.16606481481481483</v>
      </c>
      <c r="F8" s="31" t="s">
        <v>70</v>
      </c>
      <c r="G8" s="47">
        <v>0.71740000000000004</v>
      </c>
      <c r="I8" s="47"/>
      <c r="J8" s="47"/>
      <c r="K8" s="47"/>
    </row>
    <row r="9" spans="1:36" x14ac:dyDescent="0.45">
      <c r="B9" s="1"/>
      <c r="C9" s="1"/>
      <c r="D9" s="1"/>
      <c r="E9" s="63" t="s">
        <v>71</v>
      </c>
      <c r="F9" s="51"/>
      <c r="G9" s="65" t="s">
        <v>55</v>
      </c>
      <c r="H9" s="52"/>
      <c r="I9" s="51"/>
      <c r="J9" s="47" t="s">
        <v>72</v>
      </c>
      <c r="L9" s="47"/>
      <c r="M9" s="47"/>
      <c r="R9" s="47"/>
      <c r="T9" s="47"/>
      <c r="U9" s="47"/>
      <c r="X9" s="47"/>
      <c r="AB9" s="47"/>
      <c r="AE9" s="47"/>
      <c r="AJ9" s="47"/>
    </row>
    <row r="10" spans="1:36" x14ac:dyDescent="0.45">
      <c r="A10" s="47" t="s">
        <v>73</v>
      </c>
      <c r="B10" s="1" t="s">
        <v>74</v>
      </c>
      <c r="C10" s="1" t="s">
        <v>75</v>
      </c>
      <c r="D10" s="1" t="s">
        <v>76</v>
      </c>
      <c r="E10" s="1" t="s">
        <v>77</v>
      </c>
      <c r="F10" s="44" t="s">
        <v>78</v>
      </c>
      <c r="G10" s="29" t="s">
        <v>79</v>
      </c>
      <c r="H10" s="29" t="s">
        <v>80</v>
      </c>
      <c r="I10" s="29" t="s">
        <v>81</v>
      </c>
      <c r="J10" s="47" t="s">
        <v>82</v>
      </c>
      <c r="L10" s="47"/>
      <c r="M10" s="47"/>
      <c r="R10" s="47"/>
      <c r="T10" s="47"/>
      <c r="U10" s="47"/>
      <c r="X10" s="47"/>
      <c r="AB10" s="47"/>
      <c r="AE10" s="47"/>
      <c r="AJ10" s="47"/>
    </row>
    <row r="11" spans="1:36" x14ac:dyDescent="0.45">
      <c r="A11" s="47">
        <v>0</v>
      </c>
      <c r="B11" s="1">
        <v>25.2</v>
      </c>
      <c r="C11" s="1">
        <v>20</v>
      </c>
      <c r="D11" s="1">
        <f>Sheet3!B2</f>
        <v>183.66278355790553</v>
      </c>
      <c r="E11" s="1">
        <f>D$1/2.5/10^8*Sheet3!P2*Sheet3!O2/Sheet2!B11</f>
        <v>7.9680266841146571E-4</v>
      </c>
      <c r="F11" s="1">
        <f t="shared" ref="F11:F17" si="0">E11/H$2</f>
        <v>0.26392317033610235</v>
      </c>
      <c r="G11" s="29">
        <f>Sheet3!V2</f>
        <v>0.1798269074882716</v>
      </c>
      <c r="H11" s="29">
        <f>Sheet3!I2</f>
        <v>1.1641440433591077</v>
      </c>
      <c r="I11" s="29">
        <f>Sheet3!S2</f>
        <v>3.5146329857381358E-3</v>
      </c>
      <c r="J11" s="47" t="s">
        <v>82</v>
      </c>
      <c r="L11" s="47"/>
      <c r="M11" s="47"/>
      <c r="R11" s="47"/>
      <c r="T11" s="47"/>
      <c r="U11" s="47"/>
      <c r="X11" s="47"/>
      <c r="AB11" s="47"/>
      <c r="AE11" s="47"/>
      <c r="AJ11" s="47"/>
    </row>
    <row r="12" spans="1:36" x14ac:dyDescent="0.45">
      <c r="A12" s="47">
        <v>500</v>
      </c>
      <c r="B12" s="1">
        <f>B$11+A12*B$22</f>
        <v>26</v>
      </c>
      <c r="C12" s="1">
        <f t="shared" ref="C12:C17" si="1">C$11+A12*B$20</f>
        <v>35</v>
      </c>
      <c r="D12" s="1">
        <f>Sheet3!B3</f>
        <v>180.26926821353237</v>
      </c>
      <c r="E12" s="1">
        <f>D$1/2.5/10^8*Sheet3!P3*Sheet3!O3/Sheet2!B12</f>
        <v>8.1979124831120184E-4</v>
      </c>
      <c r="F12" s="1">
        <f t="shared" si="0"/>
        <v>0.27153762637295148</v>
      </c>
      <c r="G12" s="29">
        <f>Sheet3!V3</f>
        <v>0.16612900177661571</v>
      </c>
      <c r="H12" s="29">
        <f>Sheet3!I3</f>
        <v>1.1643131658199302</v>
      </c>
      <c r="I12" s="29">
        <f>Sheet3!S3</f>
        <v>3.5151435783772737E-3</v>
      </c>
      <c r="J12" s="47" t="s">
        <v>82</v>
      </c>
      <c r="L12" s="47"/>
      <c r="M12" s="47"/>
      <c r="R12" s="47"/>
      <c r="T12" s="47"/>
      <c r="U12" s="47"/>
      <c r="X12" s="47"/>
      <c r="AB12" s="47"/>
      <c r="AE12" s="47"/>
      <c r="AJ12" s="47"/>
    </row>
    <row r="13" spans="1:36" x14ac:dyDescent="0.45">
      <c r="A13" s="47">
        <v>1000</v>
      </c>
      <c r="B13" s="1">
        <f>B$11+A13*B$22</f>
        <v>26.8</v>
      </c>
      <c r="C13" s="1">
        <f t="shared" si="1"/>
        <v>50</v>
      </c>
      <c r="D13" s="1">
        <f>Sheet3!B4</f>
        <v>177.19079374903296</v>
      </c>
      <c r="E13" s="1">
        <f>D$1/2.5/10^8*Sheet3!P4*Sheet3!O4/Sheet2!B13</f>
        <v>8.415805071350002E-4</v>
      </c>
      <c r="F13" s="1">
        <f t="shared" si="0"/>
        <v>0.27875483396528489</v>
      </c>
      <c r="G13" s="29">
        <f>Sheet3!V4</f>
        <v>0.1536654953837801</v>
      </c>
      <c r="H13" s="29">
        <f>Sheet3!I4</f>
        <v>1.1630241341572387</v>
      </c>
      <c r="I13" s="29">
        <f>Sheet3!S4</f>
        <v>3.5112519008591862E-3</v>
      </c>
      <c r="J13" s="47" t="s">
        <v>82</v>
      </c>
      <c r="L13" s="47"/>
      <c r="M13" s="47"/>
      <c r="R13" s="47"/>
      <c r="T13" s="47"/>
      <c r="U13" s="47"/>
      <c r="X13" s="47"/>
      <c r="AB13" s="47"/>
      <c r="AE13" s="47"/>
      <c r="AJ13" s="47"/>
    </row>
    <row r="14" spans="1:36" x14ac:dyDescent="0.45">
      <c r="A14" s="47">
        <v>1500</v>
      </c>
      <c r="B14" s="1">
        <f>B$11+A14*B$22</f>
        <v>27.6</v>
      </c>
      <c r="C14" s="1">
        <f t="shared" si="1"/>
        <v>65</v>
      </c>
      <c r="D14" s="1">
        <f>Sheet3!B5</f>
        <v>174.38543545763716</v>
      </c>
      <c r="E14" s="1">
        <f>D$1/2.5/10^8*Sheet3!P5*Sheet3!O5/Sheet2!B14</f>
        <v>8.6224284616568043E-4</v>
      </c>
      <c r="F14" s="1">
        <f t="shared" si="0"/>
        <v>0.2855987744284969</v>
      </c>
      <c r="G14" s="29">
        <f>Sheet3!V5</f>
        <v>0.14224775236861556</v>
      </c>
      <c r="H14" s="29">
        <f>Sheet3!I5</f>
        <v>1.1603451996078369</v>
      </c>
      <c r="I14" s="29">
        <f>Sheet3!S5</f>
        <v>3.5031640084822319E-3</v>
      </c>
      <c r="J14" s="47" t="s">
        <v>82</v>
      </c>
      <c r="L14" s="47"/>
      <c r="M14" s="47"/>
      <c r="R14" s="47"/>
      <c r="T14" s="47"/>
      <c r="U14" s="47"/>
      <c r="X14" s="47"/>
      <c r="AB14" s="47"/>
      <c r="AE14" s="47"/>
      <c r="AJ14" s="47"/>
    </row>
    <row r="15" spans="1:36" x14ac:dyDescent="0.45">
      <c r="A15" s="47">
        <v>2000</v>
      </c>
      <c r="B15" s="1">
        <f>B$11+A15*B$22</f>
        <v>28.4</v>
      </c>
      <c r="C15" s="1">
        <f t="shared" si="1"/>
        <v>80</v>
      </c>
      <c r="D15" s="1">
        <f>Sheet3!B6</f>
        <v>171.81839161829248</v>
      </c>
      <c r="E15" s="1">
        <f>D$1/2.5/10^8*Sheet3!P6*Sheet3!O6/Sheet2!B15</f>
        <v>8.8184686665040198E-4</v>
      </c>
      <c r="F15" s="1">
        <f t="shared" si="0"/>
        <v>0.29209217040064717</v>
      </c>
      <c r="G15" s="29">
        <f>Sheet3!V6</f>
        <v>0.13172192865549867</v>
      </c>
      <c r="H15" s="29">
        <f>Sheet3!I6</f>
        <v>1.1563265306475314</v>
      </c>
      <c r="I15" s="29">
        <f>Sheet3!S6</f>
        <v>3.4910313634137599E-3</v>
      </c>
      <c r="J15" s="47" t="s">
        <v>83</v>
      </c>
      <c r="L15" s="47"/>
      <c r="M15" s="47"/>
      <c r="R15" s="47"/>
      <c r="T15" s="47"/>
      <c r="U15" s="47"/>
      <c r="X15" s="47"/>
      <c r="AB15" s="47"/>
      <c r="AE15" s="47"/>
      <c r="AJ15" s="47"/>
    </row>
    <row r="16" spans="1:36" x14ac:dyDescent="0.45">
      <c r="A16" s="47">
        <v>2500</v>
      </c>
      <c r="B16" s="1">
        <f>B$11+A16*B$22</f>
        <v>29.2</v>
      </c>
      <c r="C16" s="1">
        <f t="shared" si="1"/>
        <v>95</v>
      </c>
      <c r="D16" s="1">
        <f>Sheet3!B7</f>
        <v>169.46053239168819</v>
      </c>
      <c r="E16" s="1">
        <f>D$1/2.5/10^8*Sheet3!P7*Sheet3!O7/Sheet2!B16</f>
        <v>9.0045734041178948E-4</v>
      </c>
      <c r="F16" s="1">
        <f t="shared" si="0"/>
        <v>0.29825647610804956</v>
      </c>
      <c r="G16" s="29">
        <f>Sheet3!V7</f>
        <v>0.12196151744031208</v>
      </c>
      <c r="H16" s="29">
        <f>Sheet3!I7</f>
        <v>1.151001668726499</v>
      </c>
      <c r="I16" s="29">
        <f>Sheet3!S7</f>
        <v>3.4749552296578718E-3</v>
      </c>
      <c r="J16" s="47" t="s">
        <v>83</v>
      </c>
      <c r="L16" s="47"/>
      <c r="M16" s="47"/>
      <c r="R16" s="47"/>
      <c r="T16" s="47"/>
      <c r="U16" s="47"/>
      <c r="X16" s="47"/>
      <c r="AB16" s="47"/>
      <c r="AE16" s="47"/>
      <c r="AJ16" s="47"/>
    </row>
    <row r="17" spans="1:36" x14ac:dyDescent="0.45">
      <c r="A17" s="47">
        <v>3000</v>
      </c>
      <c r="B17" s="1">
        <v>30</v>
      </c>
      <c r="C17" s="1">
        <f t="shared" si="1"/>
        <v>110</v>
      </c>
      <c r="D17" s="1">
        <f>Sheet3!B8</f>
        <v>167.28728957327417</v>
      </c>
      <c r="E17" s="1">
        <f>D$1/2.5/10^8*Sheet3!P8*Sheet3!O8/Sheet2!B17</f>
        <v>9.1813524845123424E-4</v>
      </c>
      <c r="F17" s="1">
        <f t="shared" si="0"/>
        <v>0.30411189015175732</v>
      </c>
      <c r="G17" s="29">
        <f>Sheet3!V8</f>
        <v>0.11286170179764879</v>
      </c>
      <c r="H17" s="29">
        <f>Sheet3!I8</f>
        <v>1.144388352504855</v>
      </c>
      <c r="I17" s="29">
        <f>Sheet3!S8</f>
        <v>3.4549891614807427E-3</v>
      </c>
      <c r="J17" s="47" t="s">
        <v>83</v>
      </c>
      <c r="L17" s="47"/>
      <c r="M17" s="47"/>
      <c r="R17" s="47"/>
      <c r="T17" s="47"/>
      <c r="U17" s="47"/>
      <c r="X17" s="47"/>
      <c r="AB17" s="47"/>
      <c r="AE17" s="47"/>
      <c r="AJ17" s="47"/>
    </row>
    <row r="19" spans="1:36" x14ac:dyDescent="0.45">
      <c r="B19" s="33" t="s">
        <v>84</v>
      </c>
    </row>
    <row r="20" spans="1:36" x14ac:dyDescent="0.45">
      <c r="B20" s="47">
        <v>0.03</v>
      </c>
      <c r="C20" s="47" t="s">
        <v>85</v>
      </c>
    </row>
    <row r="21" spans="1:36" x14ac:dyDescent="0.45">
      <c r="B21" s="47" t="s">
        <v>86</v>
      </c>
    </row>
    <row r="22" spans="1:36" x14ac:dyDescent="0.45">
      <c r="B22" s="47">
        <f>(B17-B11)/A17</f>
        <v>1.6000000000000003E-3</v>
      </c>
      <c r="C22" s="47" t="s">
        <v>87</v>
      </c>
    </row>
    <row r="23" spans="1:36" x14ac:dyDescent="0.45">
      <c r="B23" s="47" t="s">
        <v>88</v>
      </c>
      <c r="K23" s="47" t="s">
        <v>89</v>
      </c>
      <c r="T23" s="47" t="s">
        <v>90</v>
      </c>
      <c r="AD23" s="47" t="s">
        <v>55</v>
      </c>
    </row>
    <row r="24" spans="1:36" x14ac:dyDescent="0.45">
      <c r="B24" s="47" t="e">
        <f>(#REF!-#REF!)/A17</f>
        <v>#REF!</v>
      </c>
      <c r="C24" s="47" t="s">
        <v>19</v>
      </c>
      <c r="F24" s="47" t="s">
        <v>91</v>
      </c>
    </row>
    <row r="25" spans="1:36" x14ac:dyDescent="0.45">
      <c r="F25" s="47" t="s">
        <v>92</v>
      </c>
    </row>
    <row r="33" spans="6:22" x14ac:dyDescent="0.45">
      <c r="T33" s="47" t="s">
        <v>40</v>
      </c>
      <c r="U33" s="47" t="s">
        <v>93</v>
      </c>
      <c r="V33" s="47" t="s">
        <v>42</v>
      </c>
    </row>
    <row r="35" spans="6:22" x14ac:dyDescent="0.45">
      <c r="K35" s="47" t="s">
        <v>94</v>
      </c>
      <c r="L35" s="47" t="s">
        <v>95</v>
      </c>
      <c r="T35" s="47" t="s">
        <v>96</v>
      </c>
      <c r="U35" s="47" t="s">
        <v>97</v>
      </c>
    </row>
    <row r="36" spans="6:22" x14ac:dyDescent="0.45">
      <c r="K36" s="47" t="s">
        <v>96</v>
      </c>
      <c r="L36" s="47" t="s">
        <v>97</v>
      </c>
      <c r="T36" s="47" t="s">
        <v>98</v>
      </c>
      <c r="U36" s="47" t="s">
        <v>44</v>
      </c>
    </row>
    <row r="37" spans="6:22" x14ac:dyDescent="0.45">
      <c r="T37" s="47" t="s">
        <v>99</v>
      </c>
      <c r="U37" s="47" t="s">
        <v>100</v>
      </c>
    </row>
    <row r="38" spans="6:22" x14ac:dyDescent="0.45">
      <c r="K38" s="47" t="s">
        <v>99</v>
      </c>
      <c r="L38" s="47" t="s">
        <v>100</v>
      </c>
    </row>
    <row r="39" spans="6:22" x14ac:dyDescent="0.45">
      <c r="T39" s="47" t="s">
        <v>28</v>
      </c>
    </row>
    <row r="42" spans="6:22" x14ac:dyDescent="0.45">
      <c r="F42" s="47" t="s">
        <v>95</v>
      </c>
    </row>
    <row r="43" spans="6:22" x14ac:dyDescent="0.45">
      <c r="F43" s="47" t="s">
        <v>101</v>
      </c>
    </row>
    <row r="60" spans="20:21" x14ac:dyDescent="0.45">
      <c r="T60" s="47" t="s">
        <v>26</v>
      </c>
      <c r="U60" s="47" t="s">
        <v>102</v>
      </c>
    </row>
    <row r="62" spans="20:21" x14ac:dyDescent="0.45">
      <c r="T62" s="47" t="s">
        <v>103</v>
      </c>
    </row>
    <row r="63" spans="20:21" x14ac:dyDescent="0.45">
      <c r="T63" s="47" t="s">
        <v>104</v>
      </c>
      <c r="U63" s="47" t="s">
        <v>105</v>
      </c>
    </row>
    <row r="70" spans="1:30" x14ac:dyDescent="0.45">
      <c r="T70" s="47" t="s">
        <v>106</v>
      </c>
    </row>
    <row r="72" spans="1:30" x14ac:dyDescent="0.45">
      <c r="A72" s="47" t="s">
        <v>107</v>
      </c>
    </row>
    <row r="74" spans="1:30" x14ac:dyDescent="0.45">
      <c r="I74" s="47" t="s">
        <v>108</v>
      </c>
    </row>
    <row r="77" spans="1:30" ht="16.5" customHeight="1" x14ac:dyDescent="0.45">
      <c r="I77" s="47" t="s">
        <v>109</v>
      </c>
      <c r="R77" s="47" t="s">
        <v>110</v>
      </c>
      <c r="S77" s="64" t="s">
        <v>111</v>
      </c>
      <c r="T77" s="51"/>
      <c r="U77" s="51"/>
      <c r="W77" s="47" t="s">
        <v>112</v>
      </c>
      <c r="AB77" s="47" t="s">
        <v>113</v>
      </c>
    </row>
    <row r="78" spans="1:30" ht="16.5" customHeight="1" x14ac:dyDescent="0.45">
      <c r="A78" s="47">
        <v>2</v>
      </c>
      <c r="I78" s="47" t="s">
        <v>73</v>
      </c>
      <c r="J78" s="34" t="s">
        <v>114</v>
      </c>
      <c r="K78" s="47" t="s">
        <v>115</v>
      </c>
      <c r="L78" s="47" t="s">
        <v>116</v>
      </c>
      <c r="M78" s="47" t="s">
        <v>117</v>
      </c>
      <c r="N78" s="47" t="s">
        <v>118</v>
      </c>
      <c r="O78" s="47" t="s">
        <v>119</v>
      </c>
      <c r="P78" s="47" t="s">
        <v>120</v>
      </c>
      <c r="R78" s="47" t="s">
        <v>73</v>
      </c>
      <c r="S78" s="34" t="s">
        <v>114</v>
      </c>
      <c r="T78" s="43" t="s">
        <v>121</v>
      </c>
      <c r="U78" s="45" t="s">
        <v>122</v>
      </c>
      <c r="W78" s="47" t="s">
        <v>73</v>
      </c>
      <c r="X78" s="34" t="s">
        <v>114</v>
      </c>
      <c r="Y78" s="43" t="s">
        <v>121</v>
      </c>
      <c r="Z78" s="45" t="s">
        <v>122</v>
      </c>
      <c r="AB78" s="47" t="s">
        <v>73</v>
      </c>
      <c r="AC78" s="34" t="s">
        <v>114</v>
      </c>
    </row>
    <row r="79" spans="1:30" x14ac:dyDescent="0.45">
      <c r="I79" s="47">
        <v>0</v>
      </c>
      <c r="J79" s="30">
        <f t="shared" ref="J79:J85" si="2">((K79/L79^0.5)/(0.0039*(1000/D11)^0.0875)/(1/O79)^0.492)^(1/0.431)*H$2^0.5*1000</f>
        <v>107341705.60484414</v>
      </c>
      <c r="K79" s="47">
        <f t="shared" ref="K79:K85" si="3">G11</f>
        <v>0.1798269074882716</v>
      </c>
      <c r="L79" s="47">
        <f t="shared" ref="L79:L85" si="4">H$2</f>
        <v>3.0190705400997908E-3</v>
      </c>
      <c r="M79" s="47">
        <v>1000</v>
      </c>
      <c r="N79" s="47">
        <f t="shared" ref="N79:N85" si="5">D11</f>
        <v>183.66278355790553</v>
      </c>
      <c r="O79" s="47">
        <v>0.5</v>
      </c>
      <c r="P79" s="47">
        <f t="shared" ref="P79:P85" si="6">10000*D11/(5*1000)</f>
        <v>367.32556711581105</v>
      </c>
      <c r="R79" s="47">
        <v>0</v>
      </c>
      <c r="S79" s="47">
        <f>(1/(1000*4.066))^(1/2)*(Sheet3!T2/B11)^(1/2)*(Sheet3!P2*Sheet3!O2*T79)^(1/4)*(U79/(U79-1))^(-1/4)*((2/(U79+1))^(2/(U79-1))-(2/(U79+1))^((U79+1)/(U79-1)))^(-1/4)</f>
        <v>0.27763565445676008</v>
      </c>
      <c r="T79" s="47">
        <v>0.6</v>
      </c>
      <c r="U79" s="47">
        <v>1.3</v>
      </c>
      <c r="W79" s="47">
        <v>0</v>
      </c>
      <c r="X79" s="47">
        <f>(1/(1000*4.066))^(1/2)*(Sheet3!A2/B11)^(1/2)*(Sheet3!P2*Sheet3!O2*Y79)^(1/4)*(U79/(U79-1))^(-1/4)*((2/(U79+1))^(2/(U79-1))-(2/(U79+1))^((U79+1)/(U79-1)))^(-1/4)</f>
        <v>0.13219366331253599</v>
      </c>
      <c r="Y79" s="47">
        <v>0.6</v>
      </c>
      <c r="Z79" s="47">
        <v>1.3</v>
      </c>
      <c r="AB79" s="47">
        <v>0</v>
      </c>
      <c r="AC79" s="47" t="e">
        <f>(Sheet3!T2/0.408/B11*(Sheet3!O2*Sheet3!P2*Sheet2!T79)^(1/2)/(U79/(U79-1)*((B$11/B11)^(2/U79)-(B$11/B11)^((U79+1)/U79)))^(1/2))^(1/2)</f>
        <v>#DIV/0!</v>
      </c>
      <c r="AD79" s="47"/>
    </row>
    <row r="80" spans="1:30" x14ac:dyDescent="0.45">
      <c r="I80" s="47">
        <v>500</v>
      </c>
      <c r="J80" s="30">
        <f t="shared" si="2"/>
        <v>88979178.293466806</v>
      </c>
      <c r="K80" s="47">
        <f t="shared" si="3"/>
        <v>0.16612900177661571</v>
      </c>
      <c r="L80" s="47">
        <f t="shared" si="4"/>
        <v>3.0190705400997908E-3</v>
      </c>
      <c r="M80" s="47">
        <v>1000</v>
      </c>
      <c r="N80" s="47">
        <f t="shared" si="5"/>
        <v>180.26926821353237</v>
      </c>
      <c r="O80" s="47">
        <v>0.5</v>
      </c>
      <c r="P80" s="47">
        <f t="shared" si="6"/>
        <v>360.53853642706474</v>
      </c>
      <c r="R80" s="47">
        <v>500</v>
      </c>
      <c r="S80" s="47">
        <f>(1/(1000*4.066))^(1/2)*(Sheet3!T3/B12)^(1/2)*(Sheet3!P3*Sheet3!O3*T80)^(1/4)*(U80/(U80-1))^(-1/4)*((2/(U80+1))^(2/(U80-1))-(2/(U80+1))^((U80+1)/(U80-1)))^(-1/4)</f>
        <v>0.27746084522845371</v>
      </c>
      <c r="T80" s="47">
        <v>0.6</v>
      </c>
      <c r="U80" s="47">
        <v>1.3</v>
      </c>
      <c r="W80" s="47">
        <v>500</v>
      </c>
      <c r="X80" s="47">
        <f>(1/(1000*4.066))^(1/2)*(Sheet3!A3/B12)^(1/2)*(Sheet3!P3*Sheet3!O3*Y80)^(1/4)*(U80/(U80-1))^(-1/4)*((2/(U80+1))^(2/(U80-1))-(2/(U80+1))^((U80+1)/(U80-1)))^(-1/4)</f>
        <v>0.13399290702390038</v>
      </c>
      <c r="Y80" s="47">
        <v>0.6</v>
      </c>
      <c r="Z80" s="47">
        <v>1.3</v>
      </c>
      <c r="AB80" s="47">
        <v>500</v>
      </c>
      <c r="AC80" s="47">
        <f>(Sheet3!T3/0.408/B12*(Sheet3!O3*Sheet3!P3*Sheet2!T80)^(1/2)/(U80/(U80-1)*((B$11/B12)^(2/U80)-(B$11/B12)^((U80+1)/U80)))^(1/2))^(1/2)</f>
        <v>45.839131299010354</v>
      </c>
    </row>
    <row r="81" spans="9:29" x14ac:dyDescent="0.45">
      <c r="I81" s="47">
        <v>1000</v>
      </c>
      <c r="J81" s="30">
        <f t="shared" si="2"/>
        <v>73992403.008161202</v>
      </c>
      <c r="K81" s="47">
        <f t="shared" si="3"/>
        <v>0.1536654953837801</v>
      </c>
      <c r="L81" s="47">
        <f t="shared" si="4"/>
        <v>3.0190705400997908E-3</v>
      </c>
      <c r="M81" s="47">
        <v>1000</v>
      </c>
      <c r="N81" s="47">
        <f t="shared" si="5"/>
        <v>177.19079374903296</v>
      </c>
      <c r="O81" s="47">
        <v>0.5</v>
      </c>
      <c r="P81" s="47">
        <f t="shared" si="6"/>
        <v>354.38158749806593</v>
      </c>
      <c r="R81" s="47">
        <v>1000</v>
      </c>
      <c r="S81" s="47">
        <f>(1/(1000*4.066))^(1/2)*(Sheet3!T4/B13)^(1/2)*(Sheet3!P4*Sheet3!O4*T81)^(1/4)*(U81/(U81-1))^(-1/4)*((2/(U81+1))^(2/(U81-1))-(2/(U81+1))^((U81+1)/(U81-1)))^(-1/4)</f>
        <v>0.27702495959125512</v>
      </c>
      <c r="T81" s="47">
        <v>0.6</v>
      </c>
      <c r="U81" s="47">
        <v>1.3</v>
      </c>
      <c r="W81" s="47">
        <v>1000</v>
      </c>
      <c r="X81" s="47">
        <f>(1/(1000*4.066))^(1/2)*(Sheet3!A4/B13)^(1/2)*(Sheet3!P4*Sheet3!O4*Y81)^(1/4)*(U81/(U81-1))^(-1/4)*((2/(U81+1))^(2/(U81-1))-(2/(U81+1))^((U81+1)/(U81-1)))^(-1/4)</f>
        <v>0.13562374748055814</v>
      </c>
      <c r="Y81" s="47">
        <v>0.6</v>
      </c>
      <c r="Z81" s="47">
        <v>1.3</v>
      </c>
      <c r="AB81" s="47">
        <v>1000</v>
      </c>
      <c r="AC81" s="47">
        <f>(Sheet3!T4/0.408/B13*(Sheet3!O4*Sheet3!P4*Sheet2!T81)^(1/2)/(U81/(U81-1)*((B$11/B13)^(2/U81)-(B$11/B13)^((U81+1)/U81)))^(1/2))^(1/2)</f>
        <v>39.119658380064458</v>
      </c>
    </row>
    <row r="82" spans="9:29" x14ac:dyDescent="0.45">
      <c r="I82" s="47">
        <v>1500</v>
      </c>
      <c r="J82" s="30">
        <f t="shared" si="2"/>
        <v>61656946.917803057</v>
      </c>
      <c r="K82" s="47">
        <f t="shared" si="3"/>
        <v>0.14224775236861556</v>
      </c>
      <c r="L82" s="47">
        <f t="shared" si="4"/>
        <v>3.0190705400997908E-3</v>
      </c>
      <c r="M82" s="47">
        <v>1000</v>
      </c>
      <c r="N82" s="47">
        <f t="shared" si="5"/>
        <v>174.38543545763716</v>
      </c>
      <c r="O82" s="47">
        <v>0.5</v>
      </c>
      <c r="P82" s="47">
        <f t="shared" si="6"/>
        <v>348.77087091527432</v>
      </c>
      <c r="R82" s="47">
        <v>1500</v>
      </c>
      <c r="S82" s="47">
        <f>(1/(1000*4.066))^(1/2)*(Sheet3!T5/B14)^(1/2)*(Sheet3!P5*Sheet3!O5*T82)^(1/4)*(U82/(U82-1))^(-1/4)*((2/(U82+1))^(2/(U82-1))-(2/(U82+1))^((U82+1)/(U82-1)))^(-1/4)</f>
        <v>0.2763490988273764</v>
      </c>
      <c r="T82" s="47">
        <v>0.6</v>
      </c>
      <c r="U82" s="47">
        <v>1.3</v>
      </c>
      <c r="W82" s="47">
        <v>1500</v>
      </c>
      <c r="X82" s="47">
        <f>(1/(1000*4.066))^(1/2)*(Sheet3!A5/B14)^(1/2)*(Sheet3!P5*Sheet3!O5*Y82)^(1/4)*(U82/(U82-1))^(-1/4)*((2/(U82+1))^(2/(U82-1))-(2/(U82+1))^((U82+1)/(U82-1)))^(-1/4)</f>
        <v>0.13710162978495744</v>
      </c>
      <c r="Y82" s="47">
        <v>0.6</v>
      </c>
      <c r="Z82" s="47">
        <v>1.3</v>
      </c>
      <c r="AB82" s="47">
        <v>1500</v>
      </c>
      <c r="AC82" s="47">
        <f>(Sheet3!T5/0.408/B14*(Sheet3!O5*Sheet3!P5*Sheet2!T82)^(1/2)/(U82/(U82-1)*((B$11/B14)^(2/U82)-(B$11/B14)^((U82+1)/U82)))^(1/2))^(1/2)</f>
        <v>35.826886478385106</v>
      </c>
    </row>
    <row r="83" spans="9:29" x14ac:dyDescent="0.45">
      <c r="I83" s="47">
        <v>2000</v>
      </c>
      <c r="J83" s="30">
        <f t="shared" si="2"/>
        <v>51429188.317745939</v>
      </c>
      <c r="K83" s="47">
        <f t="shared" si="3"/>
        <v>0.13172192865549867</v>
      </c>
      <c r="L83" s="47">
        <f t="shared" si="4"/>
        <v>3.0190705400997908E-3</v>
      </c>
      <c r="M83" s="47">
        <v>1000</v>
      </c>
      <c r="N83" s="47">
        <f t="shared" si="5"/>
        <v>171.81839161829248</v>
      </c>
      <c r="O83" s="47">
        <v>0.5</v>
      </c>
      <c r="P83" s="47">
        <f t="shared" si="6"/>
        <v>343.63678323658496</v>
      </c>
      <c r="R83" s="47">
        <v>2000</v>
      </c>
      <c r="S83" s="47">
        <f>(1/(1000*4.066))^(1/2)*(Sheet3!T6/B15)^(1/2)*(Sheet3!P6*Sheet3!O6*T83)^(1/4)*(U83/(U83-1))^(-1/4)*((2/(U83+1))^(2/(U83-1))-(2/(U83+1))^((U83+1)/(U83-1)))^(-1/4)</f>
        <v>0.27545031439423495</v>
      </c>
      <c r="T83" s="47">
        <v>0.6</v>
      </c>
      <c r="U83" s="47">
        <v>1.3</v>
      </c>
      <c r="W83" s="47">
        <v>2000</v>
      </c>
      <c r="X83" s="47">
        <f>(1/(1000*4.066))^(1/2)*(Sheet3!A6/B15)^(1/2)*(Sheet3!P6*Sheet3!O6*Y83)^(1/4)*(U83/(U83-1))^(-1/4)*((2/(U83+1))^(2/(U83-1))-(2/(U83+1))^((U83+1)/(U83-1)))^(-1/4)</f>
        <v>0.13844044455115792</v>
      </c>
      <c r="Y83" s="47">
        <v>0.6</v>
      </c>
      <c r="Z83" s="47">
        <v>1.3</v>
      </c>
      <c r="AB83" s="47">
        <v>2000</v>
      </c>
      <c r="AC83" s="47">
        <f>(Sheet3!T6/0.408/B15*(Sheet3!O6*Sheet3!P6*Sheet2!T83)^(1/2)/(U83/(U83-1)*((B$11/B15)^(2/U83)-(B$11/B15)^((U83+1)/U83)))^(1/2))^(1/2)</f>
        <v>33.749494249530244</v>
      </c>
    </row>
    <row r="84" spans="9:29" x14ac:dyDescent="0.45">
      <c r="I84" s="47">
        <v>2500</v>
      </c>
      <c r="J84" s="30">
        <f t="shared" si="2"/>
        <v>42895856.07124766</v>
      </c>
      <c r="K84" s="47">
        <f t="shared" si="3"/>
        <v>0.12196151744031208</v>
      </c>
      <c r="L84" s="47">
        <f t="shared" si="4"/>
        <v>3.0190705400997908E-3</v>
      </c>
      <c r="M84" s="47">
        <v>1000</v>
      </c>
      <c r="N84" s="47">
        <f t="shared" si="5"/>
        <v>169.46053239168819</v>
      </c>
      <c r="O84" s="47">
        <v>0.5</v>
      </c>
      <c r="P84" s="47">
        <f t="shared" si="6"/>
        <v>338.92106478337638</v>
      </c>
      <c r="R84" s="47">
        <v>2500</v>
      </c>
      <c r="S84" s="47">
        <f>(1/(1000*4.066))^(1/2)*(Sheet3!T7/B16)^(1/2)*(Sheet3!P7*Sheet3!O7*T84)^(1/4)*(U84/(U84-1))^(-1/4)*((2/(U84+1))^(2/(U84-1))-(2/(U84+1))^((U84+1)/(U84-1)))^(-1/4)</f>
        <v>0.27434204255528727</v>
      </c>
      <c r="T84" s="47">
        <v>0.6</v>
      </c>
      <c r="U84" s="47">
        <v>1.3</v>
      </c>
      <c r="W84" s="47">
        <v>2500</v>
      </c>
      <c r="X84" s="47">
        <f>(1/(1000*4.066))^(1/2)*(Sheet3!A7/B16)^(1/2)*(Sheet3!P7*Sheet3!O7*Y84)^(1/4)*(U84/(U84-1))^(-1/4)*((2/(U84+1))^(2/(U84-1))-(2/(U84+1))^((U84+1)/(U84-1)))^(-1/4)</f>
        <v>0.13965269861244892</v>
      </c>
      <c r="Y84" s="47">
        <v>0.6</v>
      </c>
      <c r="Z84" s="47">
        <v>1.3</v>
      </c>
      <c r="AB84" s="47">
        <v>2500</v>
      </c>
      <c r="AC84" s="47">
        <f>(Sheet3!T7/0.408/B16*(Sheet3!O7*Sheet3!P7*Sheet2!T84)^(1/2)/(U84/(U84-1)*((B$11/B16)^(2/U84)-(B$11/B16)^((U84+1)/U84)))^(1/2))^(1/2)</f>
        <v>32.271331056432594</v>
      </c>
    </row>
    <row r="85" spans="9:29" x14ac:dyDescent="0.45">
      <c r="I85" s="47">
        <v>3000</v>
      </c>
      <c r="J85" s="30">
        <f t="shared" si="2"/>
        <v>35738985.076894961</v>
      </c>
      <c r="K85" s="47">
        <f t="shared" si="3"/>
        <v>0.11286170179764879</v>
      </c>
      <c r="L85" s="47">
        <f t="shared" si="4"/>
        <v>3.0190705400997908E-3</v>
      </c>
      <c r="M85" s="47">
        <v>1000</v>
      </c>
      <c r="N85" s="47">
        <f t="shared" si="5"/>
        <v>167.28728957327417</v>
      </c>
      <c r="O85" s="47">
        <v>0.5</v>
      </c>
      <c r="P85" s="47">
        <f t="shared" si="6"/>
        <v>334.57457914654833</v>
      </c>
      <c r="R85" s="47">
        <v>3000</v>
      </c>
      <c r="S85" s="47">
        <f>(1/(1000*4.066))^(1/2)*(Sheet3!T8/B17)^(1/2)*(Sheet3!P8*Sheet3!O8*T85)^(1/4)*(U85/(U85-1))^(-1/4)*((2/(U85+1))^(2/(U85-1))-(2/(U85+1))^((U85+1)/(U85-1)))^(-1/4)</f>
        <v>0.27303441032798337</v>
      </c>
      <c r="T85" s="47">
        <v>0.6</v>
      </c>
      <c r="U85" s="47">
        <v>1.3</v>
      </c>
      <c r="W85" s="47">
        <v>3000</v>
      </c>
      <c r="X85" s="47">
        <f>(1/(1000*4.066))^(1/2)*(Sheet3!A8/B17)^(1/2)*(Sheet3!P8*Sheet3!O8*Y85)^(1/4)*(U85/(U85-1))^(-1/4)*((2/(U85+1))^(2/(U85-1))-(2/(U85+1))^((U85+1)/(U85-1)))^(-1/4)</f>
        <v>0.14074966507534364</v>
      </c>
      <c r="Y85" s="47">
        <v>0.6</v>
      </c>
      <c r="Z85" s="47">
        <v>1.3</v>
      </c>
      <c r="AB85" s="47">
        <v>3000</v>
      </c>
      <c r="AC85" s="47">
        <f>(Sheet3!T8/0.408/B17*(Sheet3!O8*Sheet3!P8*Sheet2!T85)^(1/2)/(U85/(U85-1)*((B$11/B17)^(2/U85)-(B$11/B17)^((U85+1)/U85)))^(1/2))^(1/2)</f>
        <v>31.13898726118121</v>
      </c>
    </row>
    <row r="87" spans="9:29" x14ac:dyDescent="0.45">
      <c r="R87" s="47" t="s">
        <v>123</v>
      </c>
      <c r="W87" s="47" t="s">
        <v>124</v>
      </c>
      <c r="AB87" s="47" t="s">
        <v>125</v>
      </c>
    </row>
    <row r="88" spans="9:29" ht="17.5" customHeight="1" x14ac:dyDescent="0.45">
      <c r="R88" s="47" t="s">
        <v>73</v>
      </c>
      <c r="S88" s="34" t="s">
        <v>114</v>
      </c>
      <c r="T88" s="43" t="s">
        <v>121</v>
      </c>
      <c r="U88" s="45" t="s">
        <v>122</v>
      </c>
      <c r="W88" s="47" t="s">
        <v>73</v>
      </c>
      <c r="X88" s="34" t="s">
        <v>114</v>
      </c>
      <c r="Y88" s="43" t="s">
        <v>121</v>
      </c>
      <c r="Z88" s="45" t="s">
        <v>122</v>
      </c>
      <c r="AB88" s="47" t="s">
        <v>73</v>
      </c>
      <c r="AC88" s="34" t="s">
        <v>114</v>
      </c>
    </row>
    <row r="89" spans="9:29" x14ac:dyDescent="0.45">
      <c r="R89" s="47">
        <v>0</v>
      </c>
      <c r="S89" s="47">
        <f>(1/(4.066))^(1/2)*(10000/B11)^(1/2)*(Sheet3!P2*Sheet3!O2*T79)^(1/4)*(U79/(U79-1))^(-1/4)*((2/(U79+1))^(2/(U79-1))-(2/(U79+1))^((U79+1)/(U79-1)))^(-1/4)</f>
        <v>50.382344903861693</v>
      </c>
      <c r="T89" s="47">
        <v>0.6</v>
      </c>
      <c r="U89" s="47">
        <v>1.3</v>
      </c>
      <c r="W89" s="47">
        <v>0</v>
      </c>
      <c r="X89" s="47">
        <f>(1/(1000*4.066))^(1/2)*(D$1/B11)^(1/2)*(Sheet3!P2*Sheet3!O2*Y89)^(1/4)*(U89/(U89-1))^(-1/4)*((2/(U89+1))^(2/(U89-1))-(2/(U89+1))^((U89+1)/(U89-1)))^(-1/4)</f>
        <v>2.2531669614174965</v>
      </c>
      <c r="Y89" s="47">
        <v>0.6</v>
      </c>
      <c r="Z89" s="47">
        <v>1.3</v>
      </c>
      <c r="AB89" s="47">
        <v>0</v>
      </c>
      <c r="AC89" s="47" t="e">
        <f>(Sheet3!#REF!/0.408/B11*(Sheet3!#REF!*Sheet3!#REF!*Sheet2!T89)^(1/2)/(U89/(U89-1)*((B$11/B11)^(2/U89)-(B$11/B11)^((U89+1)/U89)))^(1/2))^(1/2)</f>
        <v>#REF!</v>
      </c>
    </row>
    <row r="90" spans="9:29" x14ac:dyDescent="0.45">
      <c r="R90" s="47">
        <v>500</v>
      </c>
      <c r="S90" s="47">
        <f>(1/(4.066))^(1/2)*(10000/B12)^(1/2)*(Sheet3!P3*Sheet3!O3*T80)^(1/4)*(U80/(U80-1))^(-1/4)*((2/(U80+1))^(2/(U80-1))-(2/(U80+1))^((U80+1)/(U80-1)))^(-1/4)</f>
        <v>50.346965421518007</v>
      </c>
      <c r="T90" s="47">
        <v>0.6</v>
      </c>
      <c r="U90" s="47">
        <v>1.3</v>
      </c>
      <c r="W90" s="47">
        <v>500</v>
      </c>
      <c r="X90" s="47">
        <f>(1/(1000*4.066))^(1/2)*(D$1/B12)^(1/2)*(Sheet3!P3*Sheet3!O3*Y90)^(1/4)*(U90/(U90-1))^(-1/4)*((2/(U90+1))^(2/(U90-1))-(2/(U90+1))^((U90+1)/(U90-1)))^(-1/4)</f>
        <v>2.2515847428669118</v>
      </c>
      <c r="Y90" s="47">
        <v>0.6</v>
      </c>
      <c r="Z90" s="47">
        <v>1.3</v>
      </c>
      <c r="AB90" s="47">
        <v>500</v>
      </c>
      <c r="AC90" s="47" t="e">
        <f>(Sheet3!#REF!/0.408/B12*(Sheet3!#REF!*Sheet3!#REF!*Sheet2!T90)^(1/2)/(U90/(U90-1)*((B$11/B12)^(2/U90)-(B$11/B12)^((U90+1)/U90)))^(1/2))^(1/2)</f>
        <v>#REF!</v>
      </c>
    </row>
    <row r="91" spans="9:29" x14ac:dyDescent="0.45">
      <c r="R91" s="47">
        <v>1000</v>
      </c>
      <c r="S91" s="47">
        <f>(1/(4.066))^(1/2)*(10000/B13)^(1/2)*(Sheet3!P4*Sheet3!O4*T81)^(1/4)*(U81/(U81-1))^(-1/4)*((2/(U81+1))^(2/(U81-1))-(2/(U81+1))^((U81+1)/(U81-1)))^(-1/4)</f>
        <v>50.295720660186987</v>
      </c>
      <c r="T91" s="47">
        <v>0.6</v>
      </c>
      <c r="U91" s="47">
        <v>1.3</v>
      </c>
      <c r="W91" s="47">
        <v>1000</v>
      </c>
      <c r="X91" s="47">
        <f>(1/(1000*4.066))^(1/2)*(D$1/B13)^(1/2)*(Sheet3!P4*Sheet3!O4*Y91)^(1/4)*(U91/(U91-1))^(-1/4)*((2/(U91+1))^(2/(U91-1))-(2/(U91+1))^((U91+1)/(U91-1)))^(-1/4)</f>
        <v>2.2492930074703743</v>
      </c>
      <c r="Y91" s="47">
        <v>0.6</v>
      </c>
      <c r="Z91" s="47">
        <v>1.3</v>
      </c>
      <c r="AB91" s="47">
        <v>1000</v>
      </c>
      <c r="AC91" s="47" t="e">
        <f>(Sheet3!#REF!/0.408/B13*(Sheet3!#REF!*Sheet3!#REF!*Sheet2!T91)^(1/2)/(U91/(U91-1)*((B$11/B13)^(2/U91)-(B$11/B13)^((U91+1)/U91)))^(1/2))^(1/2)</f>
        <v>#REF!</v>
      </c>
    </row>
    <row r="92" spans="9:29" x14ac:dyDescent="0.45">
      <c r="R92" s="47">
        <v>1500</v>
      </c>
      <c r="S92" s="47">
        <f>(1/(4.066))^(1/2)*(10000/B14)^(1/2)*(Sheet3!P5*Sheet3!O5*T82)^(1/4)*(U82/(U82-1))^(-1/4)*((2/(U82+1))^(2/(U82-1))-(2/(U82+1))^((U82+1)/(U82-1)))^(-1/4)</f>
        <v>50.230898464196486</v>
      </c>
      <c r="T92" s="47">
        <v>0.6</v>
      </c>
      <c r="U92" s="47">
        <v>1.3</v>
      </c>
      <c r="W92" s="47">
        <v>1500</v>
      </c>
      <c r="X92" s="47">
        <f>(1/(1000*4.066))^(1/2)*(D$1/B14)^(1/2)*(Sheet3!P5*Sheet3!O5*Y92)^(1/4)*(U92/(U92-1))^(-1/4)*((2/(U92+1))^(2/(U92-1))-(2/(U92+1))^((U92+1)/(U92-1)))^(-1/4)</f>
        <v>2.2463940707366623</v>
      </c>
      <c r="Y92" s="47">
        <v>0.6</v>
      </c>
      <c r="Z92" s="47">
        <v>1.3</v>
      </c>
      <c r="AB92" s="47">
        <v>1500</v>
      </c>
      <c r="AC92" s="47" t="e">
        <f>(Sheet3!#REF!/0.408/B14*(Sheet3!#REF!*Sheet3!#REF!*Sheet2!T92)^(1/2)/(U92/(U92-1)*((B$11/B14)^(2/U92)-(B$11/B14)^((U92+1)/U92)))^(1/2))^(1/2)</f>
        <v>#REF!</v>
      </c>
    </row>
    <row r="93" spans="9:29" x14ac:dyDescent="0.45">
      <c r="R93" s="47">
        <v>2000</v>
      </c>
      <c r="S93" s="47">
        <f>(1/(4.066))^(1/2)*(10000/B15)^(1/2)*(Sheet3!P6*Sheet3!O6*T83)^(1/4)*(U83/(U83-1))^(-1/4)*((2/(U83+1))^(2/(U83-1))-(2/(U83+1))^((U83+1)/(U83-1)))^(-1/4)</f>
        <v>50.154456196296309</v>
      </c>
      <c r="T93" s="47">
        <v>0.6</v>
      </c>
      <c r="U93" s="47">
        <v>1.3</v>
      </c>
      <c r="W93" s="47">
        <v>2000</v>
      </c>
      <c r="X93" s="47">
        <f>(1/(1000*4.066))^(1/2)*(D$1/B15)^(1/2)*(Sheet3!P6*Sheet3!O6*Y93)^(1/4)*(U93/(U93-1))^(-1/4)*((2/(U93+1))^(2/(U93-1))-(2/(U93+1))^((U93+1)/(U93-1)))^(-1/4)</f>
        <v>2.2429754685890817</v>
      </c>
      <c r="Y93" s="47">
        <v>0.6</v>
      </c>
      <c r="Z93" s="47">
        <v>1.3</v>
      </c>
      <c r="AB93" s="47">
        <v>2000</v>
      </c>
      <c r="AC93" s="47" t="e">
        <f>(Sheet3!#REF!/0.408/B15*(Sheet3!#REF!*Sheet3!#REF!*Sheet2!T93)^(1/2)/(U93/(U93-1)*((B$11/B15)^(2/U93)-(B$11/B15)^((U93+1)/U93)))^(1/2))^(1/2)</f>
        <v>#REF!</v>
      </c>
    </row>
    <row r="94" spans="9:29" x14ac:dyDescent="0.45">
      <c r="R94" s="47">
        <v>2500</v>
      </c>
      <c r="S94" s="47">
        <f>(1/(4.066))^(1/2)*(10000/B16)^(1/2)*(Sheet3!P7*Sheet3!O7*T84)^(1/4)*(U84/(U84-1))^(-1/4)*((2/(U84+1))^(2/(U84-1))-(2/(U84+1))^((U84+1)/(U84-1)))^(-1/4)</f>
        <v>50.068074491243067</v>
      </c>
      <c r="T94" s="47">
        <v>0.6</v>
      </c>
      <c r="U94" s="47">
        <v>1.3</v>
      </c>
      <c r="W94" s="47">
        <v>2500</v>
      </c>
      <c r="X94" s="47">
        <f>(1/(1000*4.066))^(1/2)*(D$1/B16)^(1/2)*(Sheet3!P7*Sheet3!O7*Y94)^(1/4)*(U94/(U94-1))^(-1/4)*((2/(U94+1))^(2/(U94-1))-(2/(U94+1))^((U94+1)/(U94-1)))^(-1/4)</f>
        <v>2.239112361298853</v>
      </c>
      <c r="Y94" s="47">
        <v>0.6</v>
      </c>
      <c r="Z94" s="47">
        <v>1.3</v>
      </c>
      <c r="AB94" s="47">
        <v>2500</v>
      </c>
      <c r="AC94" s="47" t="e">
        <f>(Sheet3!#REF!/0.408/B16*(Sheet3!#REF!*Sheet3!#REF!*Sheet2!T94)^(1/2)/(U94/(U94-1)*((B$11/B16)^(2/U94)-(B$11/B16)^((U94+1)/U94)))^(1/2))^(1/2)</f>
        <v>#REF!</v>
      </c>
    </row>
    <row r="95" spans="9:29" x14ac:dyDescent="0.45">
      <c r="R95" s="47">
        <v>3000</v>
      </c>
      <c r="S95" s="47">
        <f>(1/(4.066))^(1/2)*(10000/B17)^(1/2)*(Sheet3!P8*Sheet3!O8*T85)^(1/4)*(U85/(U85-1))^(-1/4)*((2/(U85+1))^(2/(U85-1))-(2/(U85+1))^((U85+1)/(U85-1)))^(-1/4)</f>
        <v>49.973200958581749</v>
      </c>
      <c r="T95" s="47">
        <v>0.6</v>
      </c>
      <c r="U95" s="47">
        <v>1.3</v>
      </c>
      <c r="W95" s="47">
        <v>3000</v>
      </c>
      <c r="X95" s="47">
        <f>(1/(1000*4.066))^(1/2)*(D$1/B17)^(1/2)*(Sheet3!P8*Sheet3!O8*Y95)^(1/4)*(U95/(U95-1))^(-1/4)*((2/(U95+1))^(2/(U95-1))-(2/(U95+1))^((U95+1)/(U95-1)))^(-1/4)</f>
        <v>2.2348694879329285</v>
      </c>
      <c r="Y95" s="47">
        <v>0.6</v>
      </c>
      <c r="Z95" s="47">
        <v>1.3</v>
      </c>
      <c r="AB95" s="47">
        <v>3000</v>
      </c>
      <c r="AC95" s="47" t="e">
        <f>(Sheet3!#REF!/0.408/B17*(Sheet3!#REF!*Sheet3!#REF!*Sheet2!T95)^(1/2)/(U95/(U95-1)*((B$11/B17)^(2/U95)-(B$11/B17)^((U95+1)/U95)))^(1/2))^(1/2)</f>
        <v>#REF!</v>
      </c>
    </row>
    <row r="100" spans="1:15" x14ac:dyDescent="0.45">
      <c r="A100" s="47">
        <v>3</v>
      </c>
      <c r="O100" s="47" t="s">
        <v>126</v>
      </c>
    </row>
    <row r="102" spans="1:15" x14ac:dyDescent="0.45">
      <c r="O102" s="47" t="s">
        <v>127</v>
      </c>
    </row>
    <row r="104" spans="1:15" x14ac:dyDescent="0.45">
      <c r="O104" s="47" t="s">
        <v>128</v>
      </c>
    </row>
    <row r="105" spans="1:15" x14ac:dyDescent="0.45">
      <c r="A105" s="47"/>
      <c r="O105" s="47" t="s">
        <v>129</v>
      </c>
    </row>
    <row r="106" spans="1:15" x14ac:dyDescent="0.45">
      <c r="A106" s="47"/>
    </row>
    <row r="107" spans="1:15" x14ac:dyDescent="0.45">
      <c r="A107" s="47"/>
    </row>
    <row r="108" spans="1:15" x14ac:dyDescent="0.45">
      <c r="A108" s="47"/>
    </row>
    <row r="109" spans="1:15" x14ac:dyDescent="0.45">
      <c r="A109" s="47"/>
    </row>
  </sheetData>
  <mergeCells count="3">
    <mergeCell ref="E9:F9"/>
    <mergeCell ref="S77:U77"/>
    <mergeCell ref="G9:I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8"/>
  <sheetViews>
    <sheetView workbookViewId="0">
      <selection activeCell="B2" sqref="B2"/>
    </sheetView>
  </sheetViews>
  <sheetFormatPr defaultRowHeight="16.5" x14ac:dyDescent="0.45"/>
  <cols>
    <col min="1" max="1" width="13.765625" style="47" customWidth="1"/>
    <col min="2" max="2" width="15.07421875" style="46" bestFit="1" customWidth="1"/>
    <col min="7" max="7" width="15.07421875" style="46" bestFit="1" customWidth="1"/>
    <col min="8" max="8" width="6.53515625" style="46" bestFit="1" customWidth="1"/>
    <col min="10" max="10" width="12.53515625" style="46" bestFit="1" customWidth="1"/>
    <col min="11" max="11" width="11.4609375" style="46" bestFit="1" customWidth="1"/>
    <col min="18" max="18" width="11.4609375" style="46" bestFit="1" customWidth="1"/>
    <col min="19" max="19" width="12.3828125" style="46" bestFit="1" customWidth="1"/>
    <col min="21" max="21" width="15.07421875" style="46" bestFit="1" customWidth="1"/>
    <col min="22" max="22" width="12.53515625" style="46" bestFit="1" customWidth="1"/>
  </cols>
  <sheetData>
    <row r="1" spans="1:25" x14ac:dyDescent="0.45">
      <c r="A1" s="47" t="s">
        <v>130</v>
      </c>
      <c r="B1" s="47" t="s">
        <v>131</v>
      </c>
      <c r="C1" s="47" t="s">
        <v>16</v>
      </c>
      <c r="D1" s="47" t="s">
        <v>132</v>
      </c>
      <c r="E1" s="32" t="s">
        <v>133</v>
      </c>
      <c r="G1" s="47" t="s">
        <v>90</v>
      </c>
      <c r="H1" s="47" t="s">
        <v>19</v>
      </c>
      <c r="I1" s="45" t="s">
        <v>45</v>
      </c>
      <c r="J1" s="45" t="s">
        <v>93</v>
      </c>
      <c r="K1" s="45" t="s">
        <v>134</v>
      </c>
      <c r="L1" s="45" t="s">
        <v>26</v>
      </c>
      <c r="M1" s="45" t="s">
        <v>135</v>
      </c>
      <c r="N1" s="45" t="s">
        <v>136</v>
      </c>
      <c r="O1" s="45" t="s">
        <v>3</v>
      </c>
      <c r="P1" s="45" t="s">
        <v>52</v>
      </c>
      <c r="R1" s="45" t="s">
        <v>55</v>
      </c>
      <c r="S1" s="45" t="s">
        <v>137</v>
      </c>
      <c r="T1" s="45" t="s">
        <v>138</v>
      </c>
      <c r="U1" s="45" t="s">
        <v>89</v>
      </c>
      <c r="V1" s="45" t="s">
        <v>139</v>
      </c>
      <c r="W1" s="47" t="s">
        <v>140</v>
      </c>
      <c r="X1" s="47" t="s">
        <v>137</v>
      </c>
      <c r="Y1" s="47" t="s">
        <v>138</v>
      </c>
    </row>
    <row r="2" spans="1:25" x14ac:dyDescent="0.45">
      <c r="A2" s="47">
        <f>Sheet2!E11*24*3600</f>
        <v>68.843750550750642</v>
      </c>
      <c r="B2" s="47">
        <f>Sheet2!B11*28.97*0.59/(273.15+Sheet2!C11)/8*1000</f>
        <v>183.66278355790553</v>
      </c>
      <c r="C2" s="47">
        <f>0.1*28/290/8*1000</f>
        <v>1.2068965517241379</v>
      </c>
      <c r="E2" s="32" t="s">
        <v>141</v>
      </c>
      <c r="I2" s="45">
        <f>2.47*(J2/K2)^(1/4)*(M2*(1000-Sheet2!D11)/(Sheet2!D11)^2)^(1/4)</f>
        <v>1.1641440433591077</v>
      </c>
      <c r="J2" s="45">
        <v>30</v>
      </c>
      <c r="K2" s="45">
        <f>-3.316*10^(-18)*Sheet3!L2^(3)+7.3*10^(-12)*Sheet3!L2^2-4.918*10^(-6)*Sheet3!L2+1.143</f>
        <v>1.1282856912744887</v>
      </c>
      <c r="L2" s="45">
        <f>Sheet2!D11*Sheet2!F11*Sheet2!F$2/0.001</f>
        <v>3005.3175747800592</v>
      </c>
      <c r="M2" s="47">
        <f>(1.8*(410.93-O2)/206*(76*EXP(-0.032575*Sheet2!B11/1000000)-(52.5-0.87018*Sheet2!B11/1000000))+52.5-0.87018*Sheet2!B11/1000000)/1000</f>
        <v>7.6684858763277339E-2</v>
      </c>
      <c r="N2" s="47">
        <f t="shared" ref="N2:N8" si="0">M2*1000</f>
        <v>76.684858763277333</v>
      </c>
      <c r="O2" s="47">
        <f>Sheet2!C11+273.15</f>
        <v>293.14999999999998</v>
      </c>
      <c r="P2" s="47">
        <f>1/((1+5.072*10^6*(0.098+Sheet2!B11)*10^1.785/(O2+273.15)^3.875))</f>
        <v>0.85619253129664574</v>
      </c>
      <c r="S2" s="47">
        <f>I2*Sheet2!H$2</f>
        <v>3.5146329857381358E-3</v>
      </c>
      <c r="T2" s="47">
        <f t="shared" ref="T2:T8" si="1">S2*24*3600</f>
        <v>303.66428996777495</v>
      </c>
      <c r="V2" s="47">
        <f>30*M2/(Sheet2!F11^2*Sheet2!D11)</f>
        <v>0.1798269074882716</v>
      </c>
      <c r="X2" s="47">
        <f t="shared" ref="X2:X8" si="2">Y2/24/3600</f>
        <v>1.0210463426588587</v>
      </c>
      <c r="Y2" s="47">
        <f>2.5*10^8*Sheet2!H$2*Sheet2!B11*I2/P2/O2</f>
        <v>88218.404005725388</v>
      </c>
    </row>
    <row r="3" spans="1:25" x14ac:dyDescent="0.45">
      <c r="A3" s="47">
        <f>Sheet2!E12*24*3600</f>
        <v>70.829963854087836</v>
      </c>
      <c r="B3" s="47">
        <f>Sheet2!B12*28.97*0.59/(273.15+Sheet2!C12)/8*1000</f>
        <v>180.26926821353237</v>
      </c>
      <c r="E3" s="32">
        <f>0.717/1.206</f>
        <v>0.59452736318407962</v>
      </c>
      <c r="I3" s="45">
        <f>2.47*(J3/K3)^(1/4)*(M3*(1000-Sheet2!D12)/(Sheet2!D12)^2)^(1/4)</f>
        <v>1.1643131658199302</v>
      </c>
      <c r="J3" s="45">
        <v>30</v>
      </c>
      <c r="K3" s="45">
        <f>-3.316*10^(-18)*Sheet3!L3^(3)+7.3*10^(-12)*Sheet3!L3^2-4.918*10^(-6)*Sheet3!L3+1.143</f>
        <v>1.1281415400996442</v>
      </c>
      <c r="L3" s="45">
        <f>Sheet2!D12*Sheet2!F12*Sheet2!F$2/0.001</f>
        <v>3034.8931303188747</v>
      </c>
      <c r="M3" s="47">
        <f>(1.8*(410.93-O3)/206*(76*EXP(-0.032575*Sheet2!B12/1000000)-(52.5-0.87018*Sheet2!B12/1000000))+52.5-0.87018*Sheet2!B12/1000000)/1000</f>
        <v>7.3604765129139743E-2</v>
      </c>
      <c r="N3" s="47">
        <f t="shared" si="0"/>
        <v>73.60476512913975</v>
      </c>
      <c r="O3" s="47">
        <f>Sheet2!C12+273.15</f>
        <v>308.14999999999998</v>
      </c>
      <c r="P3" s="48">
        <f>1/((1+5.072*10^6*(0.098+Sheet2!B12)*10^1.785/(O3+273.15)^3.875))</f>
        <v>0.86461838617926545</v>
      </c>
      <c r="S3" s="47">
        <f>I3*Sheet2!H$2</f>
        <v>3.5151435783772737E-3</v>
      </c>
      <c r="T3" s="47">
        <f t="shared" si="1"/>
        <v>303.70840517179647</v>
      </c>
      <c r="V3" s="47">
        <f>30*M3/(Sheet2!F12^2*Sheet2!D12)</f>
        <v>0.16612900177661571</v>
      </c>
      <c r="X3" s="47">
        <f t="shared" si="2"/>
        <v>0.99255834313810776</v>
      </c>
      <c r="Y3" s="47">
        <f>2.5*10^8*Sheet2!H$2*Sheet2!B12*I3/P3/O3</f>
        <v>85757.040847132506</v>
      </c>
    </row>
    <row r="4" spans="1:25" x14ac:dyDescent="0.45">
      <c r="A4" s="47">
        <f>Sheet2!E13*24*3600</f>
        <v>72.712555816464018</v>
      </c>
      <c r="B4" s="47">
        <f>Sheet2!B13*28.97*0.59/(273.15+Sheet2!C13)/8*1000</f>
        <v>177.19079374903296</v>
      </c>
      <c r="I4" s="45">
        <f>2.47*(J4/K4)^(1/4)*(M4*(1000-Sheet2!D13)/(Sheet2!D13)^2)^(1/4)</f>
        <v>1.1630241341572387</v>
      </c>
      <c r="J4" s="45">
        <v>30</v>
      </c>
      <c r="K4" s="45">
        <f>-3.316*10^(-18)*Sheet3!L4^(3)+7.3*10^(-12)*Sheet3!L4^2-4.918*10^(-6)*Sheet3!L4+1.143</f>
        <v>1.1280077121669563</v>
      </c>
      <c r="L4" s="45">
        <f>Sheet2!D13*Sheet2!F13*Sheet2!F$2/0.001</f>
        <v>3062.3529980847006</v>
      </c>
      <c r="M4" s="47">
        <f>(1.8*(410.93-O4)/206*(76*EXP(-0.032575*Sheet2!B13/1000000)-(52.5-0.87018*Sheet2!B13/1000000))+52.5-0.87018*Sheet2!B13/1000000)/1000</f>
        <v>7.0524671831693364E-2</v>
      </c>
      <c r="N4" s="47">
        <f t="shared" si="0"/>
        <v>70.524671831693368</v>
      </c>
      <c r="O4" s="47">
        <f>Sheet2!C13+273.15</f>
        <v>323.14999999999998</v>
      </c>
      <c r="P4" s="48">
        <f>1/((1+5.072*10^6*(0.098+Sheet2!B13)*10^1.785/(O4+273.15)^3.875))</f>
        <v>0.87244149741675714</v>
      </c>
      <c r="S4" s="47">
        <f>I4*Sheet2!H$2</f>
        <v>3.5112519008591862E-3</v>
      </c>
      <c r="T4" s="47">
        <f t="shared" si="1"/>
        <v>303.37216423423371</v>
      </c>
      <c r="V4" s="47">
        <f>30*M4/(Sheet2!F13^2*Sheet2!D13)</f>
        <v>0.1536654953837801</v>
      </c>
      <c r="X4" s="47">
        <f t="shared" si="2"/>
        <v>0.9657897075498334</v>
      </c>
      <c r="Y4" s="47">
        <f>2.5*10^8*Sheet2!H$2*Sheet2!B13*I4/P4/O4</f>
        <v>83444.230732305601</v>
      </c>
    </row>
    <row r="5" spans="1:25" x14ac:dyDescent="0.45">
      <c r="A5" s="47">
        <f>Sheet2!E14*24*3600</f>
        <v>74.497781908714785</v>
      </c>
      <c r="B5" s="47">
        <f>Sheet2!B14*28.97*0.59/(273.15+Sheet2!C14)/8*1000</f>
        <v>174.38543545763716</v>
      </c>
      <c r="I5" s="45">
        <f>2.47*(J5/K5)^(1/4)*(M5*(1000-Sheet2!D14)/(Sheet2!D14)^2)^(1/4)</f>
        <v>1.1603451996078369</v>
      </c>
      <c r="J5" s="45">
        <v>30</v>
      </c>
      <c r="K5" s="45">
        <f>-3.316*10^(-18)*Sheet3!L5^(3)+7.3*10^(-12)*Sheet3!L5^2-4.918*10^(-6)*Sheet3!L5+1.143</f>
        <v>1.1278833894241576</v>
      </c>
      <c r="L5" s="45">
        <f>Sheet2!D14*Sheet2!F14*Sheet2!F$2/0.001</f>
        <v>3087.8645319826169</v>
      </c>
      <c r="M5" s="47">
        <f>(1.8*(410.93-O5)/206*(76*EXP(-0.032575*Sheet2!B14/1000000)-(52.5-0.87018*Sheet2!B14/1000000))+52.5-0.87018*Sheet2!B14/1000000)/1000</f>
        <v>6.7444578870938132E-2</v>
      </c>
      <c r="N5" s="47">
        <f t="shared" si="0"/>
        <v>67.44457887093813</v>
      </c>
      <c r="O5" s="47">
        <f>Sheet2!C14+273.15</f>
        <v>338.15</v>
      </c>
      <c r="P5" s="48">
        <f>1/((1+5.072*10^6*(0.098+Sheet2!B14)*10^1.785/(O5+273.15)^3.875))</f>
        <v>0.87970954288676551</v>
      </c>
      <c r="S5" s="47">
        <f>I5*Sheet2!H$2</f>
        <v>3.5031640084822319E-3</v>
      </c>
      <c r="T5" s="47">
        <f t="shared" si="1"/>
        <v>302.67337033286481</v>
      </c>
      <c r="V5" s="47">
        <f>30*M5/(Sheet2!F14^2*Sheet2!D14)</f>
        <v>0.14224775236861556</v>
      </c>
      <c r="X5" s="47">
        <f t="shared" si="2"/>
        <v>0.94047471447533915</v>
      </c>
      <c r="Y5" s="47">
        <f>2.5*10^8*Sheet2!H$2*Sheet2!B14*I5/P5/O5</f>
        <v>81257.01533066931</v>
      </c>
    </row>
    <row r="6" spans="1:25" x14ac:dyDescent="0.45">
      <c r="A6" s="47">
        <f>Sheet2!E15*24*3600</f>
        <v>76.191569278594727</v>
      </c>
      <c r="B6" s="47">
        <f>Sheet2!B15*28.97*0.59/(273.15+Sheet2!C15)/8*1000</f>
        <v>171.81839161829248</v>
      </c>
      <c r="I6" s="45">
        <f>2.47*(J6/K6)^(1/4)*(M6*(1000-Sheet2!D15)/(Sheet2!D15)^2)^(1/4)</f>
        <v>1.1563265306475314</v>
      </c>
      <c r="J6" s="45">
        <v>30</v>
      </c>
      <c r="K6" s="45">
        <f>-3.316*10^(-18)*Sheet3!L6^(3)+7.3*10^(-12)*Sheet3!L6^2-4.918*10^(-6)*Sheet3!L6+1.143</f>
        <v>1.1277678178639532</v>
      </c>
      <c r="L6" s="45">
        <f>Sheet2!D15*Sheet2!F15*Sheet2!F$2/0.001</f>
        <v>3111.5820291971954</v>
      </c>
      <c r="M6" s="47">
        <f>(1.8*(410.93-O6)/206*(76*EXP(-0.032575*Sheet2!B15/1000000)-(52.5-0.87018*Sheet2!B15/1000000))+52.5-0.87018*Sheet2!B15/1000000)/1000</f>
        <v>6.4364486246874048E-2</v>
      </c>
      <c r="N6" s="47">
        <f t="shared" si="0"/>
        <v>64.364486246874051</v>
      </c>
      <c r="O6" s="47">
        <f>Sheet2!C15+273.15</f>
        <v>353.15</v>
      </c>
      <c r="P6" s="48">
        <f>1/((1+5.072*10^6*(0.098+Sheet2!B15)*10^1.785/(O6+273.15)^3.875))</f>
        <v>0.88646648070477885</v>
      </c>
      <c r="S6" s="47">
        <f>I6*Sheet2!H$2</f>
        <v>3.4910313634137599E-3</v>
      </c>
      <c r="T6" s="47">
        <f t="shared" si="1"/>
        <v>301.62510979894887</v>
      </c>
      <c r="V6" s="47">
        <f>30*M6/(Sheet2!F15^2*Sheet2!D15)</f>
        <v>0.13172192865549867</v>
      </c>
      <c r="X6" s="47">
        <f t="shared" si="2"/>
        <v>0.9163825857553326</v>
      </c>
      <c r="Y6" s="47">
        <f>2.5*10^8*Sheet2!H$2*Sheet2!B15*I6/P6/O6</f>
        <v>79175.455409260743</v>
      </c>
    </row>
    <row r="7" spans="1:25" x14ac:dyDescent="0.45">
      <c r="A7" s="47">
        <f>Sheet2!E16*24*3600</f>
        <v>77.799514211578611</v>
      </c>
      <c r="B7" s="47">
        <f>Sheet2!B16*28.97*0.59/(273.15+Sheet2!C16)/8*1000</f>
        <v>169.46053239168819</v>
      </c>
      <c r="I7" s="45">
        <f>2.47*(J7/K7)^(1/4)*(M7*(1000-Sheet2!D16)/(Sheet2!D16)^2)^(1/4)</f>
        <v>1.151001668726499</v>
      </c>
      <c r="J7" s="45">
        <v>30</v>
      </c>
      <c r="K7" s="45">
        <f>-3.316*10^(-18)*Sheet3!L7^(3)+7.3*10^(-12)*Sheet3!L7^2-4.918*10^(-6)*Sheet3!L7+1.143</f>
        <v>1.1276603038223758</v>
      </c>
      <c r="L7" s="45">
        <f>Sheet2!D16*Sheet2!F16*Sheet2!F$2/0.001</f>
        <v>3133.6474762934126</v>
      </c>
      <c r="M7" s="47">
        <f>(1.8*(410.93-O7)/206*(76*EXP(-0.032575*Sheet2!B16/1000000)-(52.5-0.87018*Sheet2!B16/1000000))+52.5-0.87018*Sheet2!B16/1000000)/1000</f>
        <v>6.1284393959501075E-2</v>
      </c>
      <c r="N7" s="47">
        <f t="shared" si="0"/>
        <v>61.284393959501074</v>
      </c>
      <c r="O7" s="47">
        <f>Sheet2!C16+273.15</f>
        <v>368.15</v>
      </c>
      <c r="P7" s="48">
        <f>1/((1+5.072*10^6*(0.098+Sheet2!B16)*10^1.785/(O7+273.15)^3.875))</f>
        <v>0.89275276178270591</v>
      </c>
      <c r="S7" s="47">
        <f>I7*Sheet2!H$2</f>
        <v>3.4749552296578718E-3</v>
      </c>
      <c r="T7" s="47">
        <f t="shared" si="1"/>
        <v>300.23613184244016</v>
      </c>
      <c r="V7" s="47">
        <f>30*M7/(Sheet2!F16^2*Sheet2!D16)</f>
        <v>0.12196151744031208</v>
      </c>
      <c r="X7" s="47">
        <f t="shared" si="2"/>
        <v>0.89331026417661274</v>
      </c>
      <c r="Y7" s="47">
        <f>2.5*10^8*Sheet2!H$2*Sheet2!B16*I7/P7/O7</f>
        <v>77182.006824859345</v>
      </c>
    </row>
    <row r="8" spans="1:25" x14ac:dyDescent="0.45">
      <c r="A8" s="47">
        <f>Sheet2!E17*24*3600</f>
        <v>79.326885466186638</v>
      </c>
      <c r="B8" s="47">
        <f>Sheet2!B17*28.97*0.59/(273.15+Sheet2!C17)/8*1000</f>
        <v>167.28728957327417</v>
      </c>
      <c r="I8" s="45">
        <f>2.47*(J8/K8)^(1/4)*(M8*(1000-Sheet2!D17)/(Sheet2!D17)^2)^(1/4)</f>
        <v>1.144388352504855</v>
      </c>
      <c r="J8" s="45">
        <v>30</v>
      </c>
      <c r="K8" s="45">
        <f>-3.316*10^(-18)*Sheet3!L8^(3)+7.3*10^(-12)*Sheet3!L8^2-4.918*10^(-6)*Sheet3!L8+1.143</f>
        <v>1.1275602100813189</v>
      </c>
      <c r="L8" s="45">
        <f>Sheet2!D17*Sheet2!F17*Sheet2!F$2/0.001</f>
        <v>3154.1913374905516</v>
      </c>
      <c r="M8" s="47">
        <f>(1.8*(410.93-O8)/206*(76*EXP(-0.032575*Sheet2!B17/1000000)-(52.5-0.87018*Sheet2!B17/1000000))+52.5-0.87018*Sheet2!B17/1000000)/1000</f>
        <v>5.8204302008819188E-2</v>
      </c>
      <c r="N8" s="47">
        <f t="shared" si="0"/>
        <v>58.204302008819191</v>
      </c>
      <c r="O8" s="47">
        <f>Sheet2!C17+273.15</f>
        <v>383.15</v>
      </c>
      <c r="P8" s="48">
        <f>1/((1+5.072*10^6*(0.098+Sheet2!B17)*10^1.785/(O8+273.15)^3.875))</f>
        <v>0.89860555440222589</v>
      </c>
      <c r="S8" s="47">
        <f>I8*Sheet2!H$2</f>
        <v>3.4549891614807427E-3</v>
      </c>
      <c r="T8" s="47">
        <f t="shared" si="1"/>
        <v>298.51106355193616</v>
      </c>
      <c r="V8" s="47">
        <f>30*M8/(Sheet2!F17^2*Sheet2!D17)</f>
        <v>0.11286170179764879</v>
      </c>
      <c r="X8" s="47">
        <f t="shared" si="2"/>
        <v>0.87107646825575757</v>
      </c>
      <c r="Y8" s="47">
        <f>2.5*10^8*Sheet2!H$2*Sheet2!B17*I8/P8/O8</f>
        <v>75261.006857297456</v>
      </c>
    </row>
  </sheetData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9"/>
  <sheetViews>
    <sheetView zoomScale="85" zoomScaleNormal="85" workbookViewId="0">
      <selection activeCell="E10" sqref="E10"/>
    </sheetView>
  </sheetViews>
  <sheetFormatPr defaultRowHeight="16.5" x14ac:dyDescent="0.45"/>
  <cols>
    <col min="1" max="1" width="20.61328125" style="46" bestFit="1" customWidth="1"/>
    <col min="4" max="4" width="15.15234375" style="46" bestFit="1" customWidth="1"/>
    <col min="5" max="5" width="16.4609375" style="46" bestFit="1" customWidth="1"/>
    <col min="6" max="6" width="17.765625" style="46" bestFit="1" customWidth="1"/>
    <col min="7" max="7" width="18" style="46" bestFit="1" customWidth="1"/>
    <col min="8" max="8" width="16.3046875" style="46" bestFit="1" customWidth="1"/>
    <col min="9" max="9" width="17.3828125" style="46" bestFit="1" customWidth="1"/>
    <col min="10" max="10" width="11.4609375" style="46" bestFit="1" customWidth="1"/>
    <col min="11" max="11" width="12.69140625" style="46" bestFit="1" customWidth="1"/>
  </cols>
  <sheetData>
    <row r="1" spans="1:11" x14ac:dyDescent="0.45">
      <c r="A1" s="38" t="s">
        <v>142</v>
      </c>
    </row>
    <row r="2" spans="1:11" x14ac:dyDescent="0.45">
      <c r="A2" s="47" t="s">
        <v>56</v>
      </c>
      <c r="B2" s="47">
        <v>0.1157407407407407</v>
      </c>
    </row>
    <row r="3" spans="1:11" x14ac:dyDescent="0.45">
      <c r="A3" s="47" t="s">
        <v>60</v>
      </c>
      <c r="B3" s="47">
        <v>6.2E-2</v>
      </c>
    </row>
    <row r="4" spans="1:11" x14ac:dyDescent="0.45">
      <c r="A4" s="47" t="s">
        <v>63</v>
      </c>
      <c r="B4" s="47">
        <v>3.8</v>
      </c>
    </row>
    <row r="5" spans="1:11" x14ac:dyDescent="0.45">
      <c r="A5" s="47" t="s">
        <v>64</v>
      </c>
      <c r="B5" s="47">
        <v>9</v>
      </c>
    </row>
    <row r="6" spans="1:11" x14ac:dyDescent="0.45">
      <c r="A6" s="47" t="s">
        <v>65</v>
      </c>
      <c r="B6" s="47">
        <v>28.774915824915819</v>
      </c>
    </row>
    <row r="7" spans="1:11" x14ac:dyDescent="0.45">
      <c r="A7" s="47" t="s">
        <v>66</v>
      </c>
      <c r="B7" s="47">
        <v>0.2</v>
      </c>
    </row>
    <row r="8" spans="1:11" x14ac:dyDescent="0.45">
      <c r="A8" s="47" t="s">
        <v>68</v>
      </c>
      <c r="B8" s="47">
        <v>0.38</v>
      </c>
    </row>
    <row r="9" spans="1:11" x14ac:dyDescent="0.45">
      <c r="A9" s="47" t="s">
        <v>69</v>
      </c>
      <c r="B9" s="47">
        <v>3.3304300723282201</v>
      </c>
    </row>
    <row r="10" spans="1:11" x14ac:dyDescent="0.45">
      <c r="A10" s="38" t="s">
        <v>143</v>
      </c>
    </row>
    <row r="11" spans="1:11" x14ac:dyDescent="0.45">
      <c r="B11" s="63" t="s">
        <v>71</v>
      </c>
      <c r="C11" s="52"/>
      <c r="D11" s="51"/>
      <c r="E11" s="51"/>
      <c r="F11" s="51"/>
      <c r="G11" s="65" t="s">
        <v>55</v>
      </c>
      <c r="H11" s="51"/>
      <c r="I11" s="51"/>
      <c r="J11" s="35" t="s">
        <v>72</v>
      </c>
      <c r="K11" s="66" t="s">
        <v>114</v>
      </c>
    </row>
    <row r="12" spans="1:11" x14ac:dyDescent="0.45">
      <c r="A12" s="36" t="s">
        <v>73</v>
      </c>
      <c r="B12" s="1" t="s">
        <v>74</v>
      </c>
      <c r="C12" s="1" t="s">
        <v>75</v>
      </c>
      <c r="D12" s="1" t="s">
        <v>77</v>
      </c>
      <c r="E12" s="1" t="s">
        <v>76</v>
      </c>
      <c r="F12" s="1" t="s">
        <v>78</v>
      </c>
      <c r="G12" s="29" t="s">
        <v>144</v>
      </c>
      <c r="H12" s="29" t="s">
        <v>80</v>
      </c>
      <c r="I12" s="29" t="s">
        <v>81</v>
      </c>
      <c r="J12" s="35" t="s">
        <v>82</v>
      </c>
      <c r="K12" s="51"/>
    </row>
    <row r="13" spans="1:11" x14ac:dyDescent="0.45">
      <c r="A13" s="47">
        <v>0</v>
      </c>
      <c r="B13" s="1">
        <v>3.8</v>
      </c>
      <c r="C13" s="1">
        <v>9</v>
      </c>
      <c r="D13" s="1">
        <v>0.1157407407407407</v>
      </c>
      <c r="E13" s="1">
        <v>28.774915824915819</v>
      </c>
      <c r="F13" s="1">
        <v>38.336547359014382</v>
      </c>
      <c r="G13" s="29">
        <v>5.6001337689687832E-5</v>
      </c>
      <c r="H13" s="29">
        <v>18.732481359734251</v>
      </c>
      <c r="I13" s="29">
        <v>5.6554682616142139E-2</v>
      </c>
      <c r="J13" s="35" t="s">
        <v>82</v>
      </c>
      <c r="K13" s="37">
        <v>4.7390455210280997</v>
      </c>
    </row>
    <row r="14" spans="1:11" x14ac:dyDescent="0.45">
      <c r="A14" s="47">
        <v>500</v>
      </c>
      <c r="B14" s="1">
        <v>8.1666666666666661</v>
      </c>
      <c r="C14" s="1">
        <v>19.5</v>
      </c>
      <c r="D14" s="1">
        <v>5.5859043954282039E-2</v>
      </c>
      <c r="E14" s="1">
        <v>59.622038555726412</v>
      </c>
      <c r="F14" s="1">
        <v>18.502066517609659</v>
      </c>
      <c r="G14" s="29">
        <v>1.1286645663080799E-4</v>
      </c>
      <c r="H14" s="29">
        <v>12.819999261904581</v>
      </c>
      <c r="I14" s="29">
        <v>3.870448209571719E-2</v>
      </c>
      <c r="J14" s="35" t="s">
        <v>82</v>
      </c>
      <c r="K14" s="37">
        <v>1.52501688657472</v>
      </c>
    </row>
    <row r="15" spans="1:11" x14ac:dyDescent="0.45">
      <c r="A15" s="47">
        <v>1000</v>
      </c>
      <c r="B15" s="1">
        <v>12.53333333333333</v>
      </c>
      <c r="C15" s="1">
        <v>30</v>
      </c>
      <c r="D15" s="1">
        <v>3.7703423120089778E-2</v>
      </c>
      <c r="E15" s="1">
        <v>88.332299741602057</v>
      </c>
      <c r="F15" s="1">
        <v>12.488420730588009</v>
      </c>
      <c r="G15" s="29">
        <v>1.625207478704984E-4</v>
      </c>
      <c r="H15" s="29">
        <v>10.37702766651039</v>
      </c>
      <c r="I15" s="29">
        <v>3.1328978521761981E-2</v>
      </c>
      <c r="J15" s="35" t="s">
        <v>82</v>
      </c>
      <c r="K15" s="37">
        <v>0.81518986861873555</v>
      </c>
    </row>
    <row r="16" spans="1:11" x14ac:dyDescent="0.45">
      <c r="A16" s="47">
        <v>1500</v>
      </c>
      <c r="B16" s="1">
        <v>16.899999999999999</v>
      </c>
      <c r="C16" s="1">
        <v>40.5</v>
      </c>
      <c r="D16" s="1">
        <v>2.8929996878714819E-2</v>
      </c>
      <c r="E16" s="1">
        <v>115.1203052765822</v>
      </c>
      <c r="F16" s="1">
        <v>9.5824183285755833</v>
      </c>
      <c r="G16" s="29">
        <v>2.0568840066506489E-4</v>
      </c>
      <c r="H16" s="29">
        <v>8.9564486618439307</v>
      </c>
      <c r="I16" s="29">
        <v>2.70401502988892E-2</v>
      </c>
      <c r="J16" s="35" t="s">
        <v>82</v>
      </c>
      <c r="K16" s="37">
        <v>0.53005678001881085</v>
      </c>
    </row>
    <row r="17" spans="1:11" x14ac:dyDescent="0.45">
      <c r="A17" s="47">
        <v>2000</v>
      </c>
      <c r="B17" s="1">
        <v>21.266666666666669</v>
      </c>
      <c r="C17" s="1">
        <v>51</v>
      </c>
      <c r="D17" s="1">
        <v>2.375945100605497E-2</v>
      </c>
      <c r="E17" s="1">
        <v>140.17285464548311</v>
      </c>
      <c r="F17" s="1">
        <v>7.8697899537218623</v>
      </c>
      <c r="G17" s="29">
        <v>2.429997713269134E-4</v>
      </c>
      <c r="H17" s="29">
        <v>7.9980220737054353</v>
      </c>
      <c r="I17" s="29">
        <v>2.4146592821791921E-2</v>
      </c>
      <c r="J17" s="35" t="s">
        <v>83</v>
      </c>
      <c r="K17" s="37">
        <v>0.38279526072458969</v>
      </c>
    </row>
    <row r="18" spans="1:11" x14ac:dyDescent="0.45">
      <c r="A18" s="47">
        <v>2500</v>
      </c>
      <c r="B18" s="1">
        <v>25.633333333333329</v>
      </c>
      <c r="C18" s="1">
        <v>61.5</v>
      </c>
      <c r="D18" s="1">
        <v>2.035052154254581E-2</v>
      </c>
      <c r="E18" s="1">
        <v>163.65330320235071</v>
      </c>
      <c r="F18" s="1">
        <v>6.7406578522253264</v>
      </c>
      <c r="G18" s="29">
        <v>2.7500610376707062E-4</v>
      </c>
      <c r="H18" s="29">
        <v>7.2939850812607414</v>
      </c>
      <c r="I18" s="29">
        <v>2.2021055478761681E-2</v>
      </c>
      <c r="J18" s="35" t="s">
        <v>83</v>
      </c>
      <c r="K18" s="37">
        <v>0.29517211353696943</v>
      </c>
    </row>
    <row r="19" spans="1:11" x14ac:dyDescent="0.45">
      <c r="A19" s="47">
        <v>3000</v>
      </c>
      <c r="B19" s="1">
        <v>30</v>
      </c>
      <c r="C19" s="1">
        <v>72</v>
      </c>
      <c r="D19" s="1">
        <v>1.793396932285821E-2</v>
      </c>
      <c r="E19" s="1">
        <v>185.7051282051282</v>
      </c>
      <c r="F19" s="1">
        <v>5.9402286513866711</v>
      </c>
      <c r="G19" s="29">
        <v>3.0219156310686782E-4</v>
      </c>
      <c r="H19" s="29">
        <v>6.7472121960900431</v>
      </c>
      <c r="I19" s="29">
        <v>2.0370309569017461E-2</v>
      </c>
      <c r="J19" s="35" t="s">
        <v>83</v>
      </c>
      <c r="K19" s="37">
        <v>0.23803392265640469</v>
      </c>
    </row>
  </sheetData>
  <mergeCells count="3">
    <mergeCell ref="G11:I11"/>
    <mergeCell ref="B11:F11"/>
    <mergeCell ref="K11:K1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zoomScale="70" zoomScaleNormal="70" workbookViewId="0">
      <selection activeCell="B4" sqref="B4:T23"/>
    </sheetView>
  </sheetViews>
  <sheetFormatPr defaultRowHeight="16.5" x14ac:dyDescent="0.45"/>
  <cols>
    <col min="1" max="1" width="13.3828125" style="46" bestFit="1" customWidth="1"/>
  </cols>
  <sheetData>
    <row r="1" spans="1:20" x14ac:dyDescent="0.45">
      <c r="A1" s="39" t="s">
        <v>145</v>
      </c>
      <c r="B1" s="9">
        <v>12</v>
      </c>
      <c r="C1" s="2">
        <v>13</v>
      </c>
      <c r="D1" s="2">
        <v>14</v>
      </c>
      <c r="E1" s="2">
        <v>15</v>
      </c>
      <c r="F1" s="2">
        <v>16</v>
      </c>
      <c r="G1" s="2">
        <v>17</v>
      </c>
      <c r="H1" s="2">
        <v>18</v>
      </c>
      <c r="I1" s="2">
        <v>19</v>
      </c>
      <c r="J1" s="2">
        <v>20</v>
      </c>
      <c r="K1" s="2">
        <v>21</v>
      </c>
      <c r="L1" s="2">
        <v>22</v>
      </c>
      <c r="M1" s="2">
        <v>23</v>
      </c>
      <c r="N1" s="2">
        <v>24</v>
      </c>
      <c r="O1" s="2">
        <v>25</v>
      </c>
      <c r="P1" s="2">
        <v>26</v>
      </c>
      <c r="Q1" s="2">
        <v>27</v>
      </c>
      <c r="R1" s="2">
        <v>28</v>
      </c>
      <c r="S1" s="2">
        <v>29</v>
      </c>
      <c r="T1" s="3">
        <v>30</v>
      </c>
    </row>
    <row r="2" spans="1:20" ht="17" customHeight="1" thickBot="1" x14ac:dyDescent="0.5">
      <c r="A2" s="40" t="s">
        <v>63</v>
      </c>
      <c r="B2" s="4">
        <v>9.52</v>
      </c>
      <c r="C2" s="47">
        <v>10.4</v>
      </c>
      <c r="D2" s="47">
        <v>11.2</v>
      </c>
      <c r="E2" s="47">
        <v>12.1</v>
      </c>
      <c r="F2" s="47">
        <v>12.6</v>
      </c>
      <c r="G2" s="47">
        <v>13.7</v>
      </c>
      <c r="H2" s="47">
        <v>14.6</v>
      </c>
      <c r="I2" s="47">
        <v>15.5</v>
      </c>
      <c r="J2" s="47">
        <v>16.3</v>
      </c>
      <c r="K2" s="47">
        <v>17.2</v>
      </c>
      <c r="L2" s="47">
        <v>18.100000000000001</v>
      </c>
      <c r="M2" s="47">
        <v>18.899999999999999</v>
      </c>
      <c r="N2" s="47">
        <v>19.8</v>
      </c>
      <c r="O2" s="47">
        <v>20.7</v>
      </c>
      <c r="P2" s="47">
        <v>21.6</v>
      </c>
      <c r="Q2" s="47">
        <v>22.5</v>
      </c>
      <c r="R2" s="47">
        <v>23.5</v>
      </c>
      <c r="S2" s="47">
        <v>24.3</v>
      </c>
      <c r="T2" s="5">
        <v>25.2</v>
      </c>
    </row>
    <row r="3" spans="1:20" ht="17" customHeight="1" thickBot="1" x14ac:dyDescent="0.5">
      <c r="A3" s="41" t="s">
        <v>146</v>
      </c>
      <c r="B3" s="67" t="s">
        <v>147</v>
      </c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7"/>
    </row>
    <row r="4" spans="1:20" x14ac:dyDescent="0.45">
      <c r="A4" s="40">
        <v>1000</v>
      </c>
      <c r="B4" s="47">
        <v>0.80818201391638256</v>
      </c>
      <c r="C4" s="47">
        <v>0.77528762319042377</v>
      </c>
      <c r="D4" s="47">
        <v>0.74638375091088627</v>
      </c>
      <c r="E4" s="47">
        <v>0.71997482261345447</v>
      </c>
      <c r="F4" s="47">
        <v>0.69764833112514058</v>
      </c>
      <c r="G4" s="47">
        <v>0.67508553194691867</v>
      </c>
      <c r="H4" s="47">
        <v>0.65515243051702077</v>
      </c>
      <c r="I4" s="47">
        <v>0.6368239936533725</v>
      </c>
      <c r="J4" s="47">
        <v>0.62017099869712233</v>
      </c>
      <c r="K4" s="47">
        <v>0.60445096953840471</v>
      </c>
      <c r="L4" s="47">
        <v>0.5898193141405168</v>
      </c>
      <c r="M4" s="47">
        <v>0.57637936686547186</v>
      </c>
      <c r="N4" s="47">
        <v>0.56356621271238017</v>
      </c>
      <c r="O4" s="47">
        <v>0.55153115146290943</v>
      </c>
      <c r="P4" s="47">
        <v>0.54019799821432779</v>
      </c>
      <c r="Q4" s="47">
        <v>0.52950063875885889</v>
      </c>
      <c r="R4" s="47">
        <v>0.51921454611379358</v>
      </c>
      <c r="S4" s="47">
        <v>0.50978961417141111</v>
      </c>
      <c r="T4" s="47">
        <v>0.50068074491243042</v>
      </c>
    </row>
    <row r="5" spans="1:20" x14ac:dyDescent="0.45">
      <c r="A5" s="40">
        <v>2000</v>
      </c>
      <c r="B5" s="47">
        <v>1.14294196494655</v>
      </c>
      <c r="C5" s="47">
        <v>1.0964222714558991</v>
      </c>
      <c r="D5" s="47">
        <v>1.0555460232730769</v>
      </c>
      <c r="E5" s="47">
        <v>1.0181981587071109</v>
      </c>
      <c r="F5" s="47">
        <v>0.98662373164412953</v>
      </c>
      <c r="G5" s="47">
        <v>0.95471511504118767</v>
      </c>
      <c r="H5" s="47">
        <v>0.92652545265886754</v>
      </c>
      <c r="I5" s="47">
        <v>0.90060512866919717</v>
      </c>
      <c r="J5" s="47">
        <v>0.87705423734793753</v>
      </c>
      <c r="K5" s="47">
        <v>0.85482275891077864</v>
      </c>
      <c r="L5" s="47">
        <v>0.83413047340711588</v>
      </c>
      <c r="M5" s="47">
        <v>0.81512351769316793</v>
      </c>
      <c r="N5" s="47">
        <v>0.79700298131308867</v>
      </c>
      <c r="O5" s="47">
        <v>0.77998283447009609</v>
      </c>
      <c r="P5" s="47">
        <v>0.76395533544149941</v>
      </c>
      <c r="Q5" s="47">
        <v>0.74882698461799491</v>
      </c>
      <c r="R5" s="47">
        <v>0.73428025289551757</v>
      </c>
      <c r="S5" s="47">
        <v>0.72095138631815692</v>
      </c>
      <c r="T5" s="47">
        <v>0.70806949987422318</v>
      </c>
    </row>
    <row r="6" spans="1:20" x14ac:dyDescent="0.45">
      <c r="A6" s="40">
        <v>3000</v>
      </c>
      <c r="B6" s="47">
        <v>1.3998123098665129</v>
      </c>
      <c r="C6" s="47">
        <v>1.3428375538451289</v>
      </c>
      <c r="D6" s="47">
        <v>1.292774578521489</v>
      </c>
      <c r="E6" s="47">
        <v>1.247032972936893</v>
      </c>
      <c r="F6" s="47">
        <v>1.208362355324379</v>
      </c>
      <c r="G6" s="47">
        <v>1.1692824407867259</v>
      </c>
      <c r="H6" s="47">
        <v>1.134757296357719</v>
      </c>
      <c r="I6" s="47">
        <v>1.1030115124865609</v>
      </c>
      <c r="J6" s="47">
        <v>1.0741676791241479</v>
      </c>
      <c r="K6" s="47">
        <v>1.046939789924785</v>
      </c>
      <c r="L6" s="47">
        <v>1.021597019376804</v>
      </c>
      <c r="M6" s="47">
        <v>0.99831834784537865</v>
      </c>
      <c r="N6" s="47">
        <v>0.97612531384701173</v>
      </c>
      <c r="O6" s="47">
        <v>0.95527997629072492</v>
      </c>
      <c r="P6" s="47">
        <v>0.93565037905421733</v>
      </c>
      <c r="Q6" s="47">
        <v>0.91712200897051777</v>
      </c>
      <c r="R6" s="47">
        <v>0.89930597389790423</v>
      </c>
      <c r="S6" s="47">
        <v>0.88298151291581917</v>
      </c>
      <c r="T6" s="47">
        <v>0.8672044885597624</v>
      </c>
    </row>
    <row r="7" spans="1:20" x14ac:dyDescent="0.45">
      <c r="A7" s="40">
        <v>4000</v>
      </c>
      <c r="B7" s="47">
        <v>1.6163640278327649</v>
      </c>
      <c r="C7" s="47">
        <v>1.550575246380848</v>
      </c>
      <c r="D7" s="47">
        <v>1.492767501821773</v>
      </c>
      <c r="E7" s="47">
        <v>1.4399496452269089</v>
      </c>
      <c r="F7" s="47">
        <v>1.3952966622502809</v>
      </c>
      <c r="G7" s="47">
        <v>1.3501710638938369</v>
      </c>
      <c r="H7" s="47">
        <v>1.310304861034042</v>
      </c>
      <c r="I7" s="47">
        <v>1.273647987306745</v>
      </c>
      <c r="J7" s="47">
        <v>1.2403419973942451</v>
      </c>
      <c r="K7" s="47">
        <v>1.208901939076809</v>
      </c>
      <c r="L7" s="47">
        <v>1.1796386282810341</v>
      </c>
      <c r="M7" s="47">
        <v>1.152758733730944</v>
      </c>
      <c r="N7" s="47">
        <v>1.1271324254247601</v>
      </c>
      <c r="O7" s="47">
        <v>1.1030623029258191</v>
      </c>
      <c r="P7" s="47">
        <v>1.080395996428656</v>
      </c>
      <c r="Q7" s="47">
        <v>1.059001277517718</v>
      </c>
      <c r="R7" s="47">
        <v>1.0384290922275869</v>
      </c>
      <c r="S7" s="47">
        <v>1.019579228342822</v>
      </c>
      <c r="T7" s="47">
        <v>1.0013614898248611</v>
      </c>
    </row>
    <row r="8" spans="1:20" x14ac:dyDescent="0.45">
      <c r="A8" s="40">
        <v>5000</v>
      </c>
      <c r="B8" s="47">
        <v>1.807149921309712</v>
      </c>
      <c r="C8" s="47">
        <v>1.7335958275680301</v>
      </c>
      <c r="D8" s="47">
        <v>1.668964804338013</v>
      </c>
      <c r="E8" s="47">
        <v>1.6099126454520369</v>
      </c>
      <c r="F8" s="47">
        <v>1.559989092785097</v>
      </c>
      <c r="G8" s="47">
        <v>1.509537140059916</v>
      </c>
      <c r="H8" s="47">
        <v>1.4649653702602661</v>
      </c>
      <c r="I8" s="47">
        <v>1.423981739511835</v>
      </c>
      <c r="J8" s="47">
        <v>1.386744510760699</v>
      </c>
      <c r="K8" s="47">
        <v>1.3515934569535279</v>
      </c>
      <c r="L8" s="47">
        <v>1.3188760808604989</v>
      </c>
      <c r="M8" s="47">
        <v>1.2888234451394851</v>
      </c>
      <c r="N8" s="47">
        <v>1.260172361446988</v>
      </c>
      <c r="O8" s="47">
        <v>1.233261146379798</v>
      </c>
      <c r="P8" s="47">
        <v>1.2079194453165469</v>
      </c>
      <c r="Q8" s="47">
        <v>1.183999422394368</v>
      </c>
      <c r="R8" s="47">
        <v>1.1609990200171421</v>
      </c>
      <c r="S8" s="47">
        <v>1.139924231510665</v>
      </c>
      <c r="T8" s="47">
        <v>1.119556180649427</v>
      </c>
    </row>
    <row r="9" spans="1:20" x14ac:dyDescent="0.45">
      <c r="A9" s="40">
        <v>6000</v>
      </c>
      <c r="B9" s="47">
        <v>1.9796335533900311</v>
      </c>
      <c r="C9" s="47">
        <v>1.8990590807116929</v>
      </c>
      <c r="D9" s="47">
        <v>1.828259342036251</v>
      </c>
      <c r="E9" s="47">
        <v>1.7635709430537949</v>
      </c>
      <c r="F9" s="47">
        <v>1.7088824311608339</v>
      </c>
      <c r="G9" s="47">
        <v>1.6536150860053029</v>
      </c>
      <c r="H9" s="47">
        <v>1.6047891585109111</v>
      </c>
      <c r="I9" s="47">
        <v>1.5598938404121561</v>
      </c>
      <c r="J9" s="47">
        <v>1.519102500080201</v>
      </c>
      <c r="K9" s="47">
        <v>1.48059644989967</v>
      </c>
      <c r="L9" s="47">
        <v>1.444756360082605</v>
      </c>
      <c r="M9" s="47">
        <v>1.4118353470888361</v>
      </c>
      <c r="N9" s="47">
        <v>1.380449657418138</v>
      </c>
      <c r="O9" s="47">
        <v>1.3509698983337921</v>
      </c>
      <c r="P9" s="47">
        <v>1.323209455698001</v>
      </c>
      <c r="Q9" s="47">
        <v>1.2970063834369661</v>
      </c>
      <c r="R9" s="47">
        <v>1.2718107050095611</v>
      </c>
      <c r="S9" s="47">
        <v>1.248724430890265</v>
      </c>
      <c r="T9" s="47">
        <v>1.2264123490720391</v>
      </c>
    </row>
    <row r="10" spans="1:20" x14ac:dyDescent="0.45">
      <c r="A10" s="40">
        <v>7000</v>
      </c>
      <c r="B10" s="47">
        <v>2.1382486228980899</v>
      </c>
      <c r="C10" s="47">
        <v>2.0512182455082142</v>
      </c>
      <c r="D10" s="47">
        <v>1.974745787529784</v>
      </c>
      <c r="E10" s="47">
        <v>1.9048743308630429</v>
      </c>
      <c r="F10" s="47">
        <v>1.845803986736364</v>
      </c>
      <c r="G10" s="47">
        <v>1.786108431229297</v>
      </c>
      <c r="H10" s="47">
        <v>1.7333704019875611</v>
      </c>
      <c r="I10" s="47">
        <v>1.684877916125799</v>
      </c>
      <c r="J10" s="47">
        <v>1.6408182328871479</v>
      </c>
      <c r="K10" s="47">
        <v>1.599226945130497</v>
      </c>
      <c r="L10" s="47">
        <v>1.56051522367849</v>
      </c>
      <c r="M10" s="47">
        <v>1.5249564655548999</v>
      </c>
      <c r="N10" s="47">
        <v>1.491056046155486</v>
      </c>
      <c r="O10" s="47">
        <v>1.459214267075956</v>
      </c>
      <c r="P10" s="47">
        <v>1.429229562010025</v>
      </c>
      <c r="Q10" s="47">
        <v>1.4009270092057891</v>
      </c>
      <c r="R10" s="47">
        <v>1.3737125661043761</v>
      </c>
      <c r="S10" s="47">
        <v>1.3487765400611229</v>
      </c>
      <c r="T10" s="47">
        <v>1.3246767372768591</v>
      </c>
    </row>
    <row r="11" spans="1:20" x14ac:dyDescent="0.45">
      <c r="A11" s="40">
        <v>8000</v>
      </c>
      <c r="B11" s="47">
        <v>2.2858839298931</v>
      </c>
      <c r="C11" s="47">
        <v>2.1928445429117982</v>
      </c>
      <c r="D11" s="47">
        <v>2.1110920465461551</v>
      </c>
      <c r="E11" s="47">
        <v>2.036396317414221</v>
      </c>
      <c r="F11" s="47">
        <v>1.9732474632882591</v>
      </c>
      <c r="G11" s="47">
        <v>1.9094302300823749</v>
      </c>
      <c r="H11" s="47">
        <v>1.8530509053177351</v>
      </c>
      <c r="I11" s="47">
        <v>1.8012102573383939</v>
      </c>
      <c r="J11" s="47">
        <v>1.7541084746958751</v>
      </c>
      <c r="K11" s="47">
        <v>1.709645517821557</v>
      </c>
      <c r="L11" s="47">
        <v>1.668260946814232</v>
      </c>
      <c r="M11" s="47">
        <v>1.6302470353863361</v>
      </c>
      <c r="N11" s="47">
        <v>1.5940059626261771</v>
      </c>
      <c r="O11" s="47">
        <v>1.559965668940192</v>
      </c>
      <c r="P11" s="47">
        <v>1.527910670882999</v>
      </c>
      <c r="Q11" s="47">
        <v>1.49765396923599</v>
      </c>
      <c r="R11" s="47">
        <v>1.4685605057910349</v>
      </c>
      <c r="S11" s="47">
        <v>1.4419027726363141</v>
      </c>
      <c r="T11" s="47">
        <v>1.4161389997484459</v>
      </c>
    </row>
    <row r="12" spans="1:20" x14ac:dyDescent="0.45">
      <c r="A12" s="40">
        <v>9000</v>
      </c>
      <c r="B12" s="47">
        <v>2.424546041749148</v>
      </c>
      <c r="C12" s="47">
        <v>2.3258628695712722</v>
      </c>
      <c r="D12" s="47">
        <v>2.2391512527326589</v>
      </c>
      <c r="E12" s="47">
        <v>2.1599244678403631</v>
      </c>
      <c r="F12" s="47">
        <v>2.0929449933754221</v>
      </c>
      <c r="G12" s="47">
        <v>2.025256595840756</v>
      </c>
      <c r="H12" s="47">
        <v>1.965457291551062</v>
      </c>
      <c r="I12" s="47">
        <v>1.9104719809601181</v>
      </c>
      <c r="J12" s="47">
        <v>1.8605129960913671</v>
      </c>
      <c r="K12" s="47">
        <v>1.813352908615214</v>
      </c>
      <c r="L12" s="47">
        <v>1.76945794242155</v>
      </c>
      <c r="M12" s="47">
        <v>1.729138100596415</v>
      </c>
      <c r="N12" s="47">
        <v>1.6906986381371409</v>
      </c>
      <c r="O12" s="47">
        <v>1.654593454388728</v>
      </c>
      <c r="P12" s="47">
        <v>1.620593994642983</v>
      </c>
      <c r="Q12" s="47">
        <v>1.588501916276577</v>
      </c>
      <c r="R12" s="47">
        <v>1.5576436383413801</v>
      </c>
      <c r="S12" s="47">
        <v>1.5293688425142331</v>
      </c>
      <c r="T12" s="47">
        <v>1.5020422347372919</v>
      </c>
    </row>
    <row r="13" spans="1:20" x14ac:dyDescent="0.45">
      <c r="A13" s="40">
        <v>10000</v>
      </c>
      <c r="B13" s="49">
        <v>2.5556959279576672</v>
      </c>
      <c r="C13" s="47">
        <v>2.451674731020117</v>
      </c>
      <c r="D13" s="47">
        <v>2.3602726614181759</v>
      </c>
      <c r="E13" s="47">
        <v>2.2767602974342189</v>
      </c>
      <c r="F13" s="47">
        <v>2.2061577321707841</v>
      </c>
      <c r="G13" s="47">
        <v>2.1348078963786281</v>
      </c>
      <c r="H13" s="47">
        <v>2.0717738950289908</v>
      </c>
      <c r="I13" s="47">
        <v>2.0138142885892689</v>
      </c>
      <c r="J13" s="47">
        <v>1.9611528946642229</v>
      </c>
      <c r="K13" s="47">
        <v>1.911441797638415</v>
      </c>
      <c r="L13" s="47">
        <v>1.865172440642392</v>
      </c>
      <c r="M13" s="47">
        <v>1.822671595620676</v>
      </c>
      <c r="N13" s="47">
        <v>1.782152844486061</v>
      </c>
      <c r="O13" s="47">
        <v>1.7440946391581009</v>
      </c>
      <c r="P13" s="47">
        <v>1.7082560618208471</v>
      </c>
      <c r="Q13" s="47">
        <v>1.674428040992026</v>
      </c>
      <c r="R13" s="47">
        <v>1.641900560010114</v>
      </c>
      <c r="S13" s="47">
        <v>1.612096308280111</v>
      </c>
      <c r="T13" s="47">
        <v>1.5832915345130421</v>
      </c>
    </row>
    <row r="14" spans="1:20" x14ac:dyDescent="0.45">
      <c r="A14" s="40">
        <v>11000</v>
      </c>
      <c r="B14" s="47">
        <v>2.6804365024744272</v>
      </c>
      <c r="C14" s="47">
        <v>2.5713381507290749</v>
      </c>
      <c r="D14" s="47">
        <v>2.475474851389496</v>
      </c>
      <c r="E14" s="47">
        <v>2.3878863451115149</v>
      </c>
      <c r="F14" s="47">
        <v>2.3138377499597138</v>
      </c>
      <c r="G14" s="47">
        <v>2.2390054108654129</v>
      </c>
      <c r="H14" s="47">
        <v>2.1728947925143438</v>
      </c>
      <c r="I14" s="47">
        <v>2.1121062444439049</v>
      </c>
      <c r="J14" s="47">
        <v>2.0568745085383422</v>
      </c>
      <c r="K14" s="47">
        <v>2.0047370701254299</v>
      </c>
      <c r="L14" s="47">
        <v>1.9562093591088581</v>
      </c>
      <c r="M14" s="47">
        <v>1.911634096795374</v>
      </c>
      <c r="N14" s="47">
        <v>1.8691376720885851</v>
      </c>
      <c r="O14" s="47">
        <v>1.829221889595144</v>
      </c>
      <c r="P14" s="47">
        <v>1.791634072578002</v>
      </c>
      <c r="Q14" s="47">
        <v>1.7561549450166509</v>
      </c>
      <c r="R14" s="47">
        <v>1.7220398351541351</v>
      </c>
      <c r="S14" s="47">
        <v>1.690780872226616</v>
      </c>
      <c r="T14" s="47">
        <v>1.660570170630175</v>
      </c>
    </row>
    <row r="15" spans="1:20" x14ac:dyDescent="0.45">
      <c r="A15" s="40">
        <v>12000</v>
      </c>
      <c r="B15" s="47">
        <v>2.799624619733025</v>
      </c>
      <c r="C15" s="47">
        <v>2.6856751076902579</v>
      </c>
      <c r="D15" s="47">
        <v>2.5855491570429772</v>
      </c>
      <c r="E15" s="47">
        <v>2.4940659458737851</v>
      </c>
      <c r="F15" s="47">
        <v>2.4167247106487579</v>
      </c>
      <c r="G15" s="47">
        <v>2.338564881573451</v>
      </c>
      <c r="H15" s="47">
        <v>2.2695145927154381</v>
      </c>
      <c r="I15" s="47">
        <v>2.2060230249731232</v>
      </c>
      <c r="J15" s="47">
        <v>2.1483353582482958</v>
      </c>
      <c r="K15" s="47">
        <v>2.09387957984957</v>
      </c>
      <c r="L15" s="47">
        <v>2.0431940387536072</v>
      </c>
      <c r="M15" s="47">
        <v>1.9966366956907571</v>
      </c>
      <c r="N15" s="47">
        <v>1.952250627694023</v>
      </c>
      <c r="O15" s="47">
        <v>1.9105599525814501</v>
      </c>
      <c r="P15" s="47">
        <v>1.8713007581084351</v>
      </c>
      <c r="Q15" s="47">
        <v>1.834244017941036</v>
      </c>
      <c r="R15" s="47">
        <v>1.798611947795808</v>
      </c>
      <c r="S15" s="47">
        <v>1.7659630258316379</v>
      </c>
      <c r="T15" s="47">
        <v>1.734408977119525</v>
      </c>
    </row>
    <row r="16" spans="1:20" x14ac:dyDescent="0.45">
      <c r="A16" s="40">
        <v>13000</v>
      </c>
      <c r="B16" s="47">
        <v>2.9139416910832692</v>
      </c>
      <c r="C16" s="47">
        <v>2.795339278645677</v>
      </c>
      <c r="D16" s="47">
        <v>2.6911248850823419</v>
      </c>
      <c r="E16" s="47">
        <v>2.5959061399759</v>
      </c>
      <c r="F16" s="47">
        <v>2.5154068301135739</v>
      </c>
      <c r="G16" s="47">
        <v>2.434055500758499</v>
      </c>
      <c r="H16" s="47">
        <v>2.362185681473977</v>
      </c>
      <c r="I16" s="47">
        <v>2.2961015625629888</v>
      </c>
      <c r="J16" s="47">
        <v>2.236058335358186</v>
      </c>
      <c r="K16" s="47">
        <v>2.1793789641746399</v>
      </c>
      <c r="L16" s="47">
        <v>2.1266237803926362</v>
      </c>
      <c r="M16" s="47">
        <v>2.0781653613529278</v>
      </c>
      <c r="N16" s="47">
        <v>2.0319668770535331</v>
      </c>
      <c r="O16" s="47">
        <v>1.9885738466152161</v>
      </c>
      <c r="P16" s="47">
        <v>1.9477115814647641</v>
      </c>
      <c r="Q16" s="47">
        <v>1.9091417034360001</v>
      </c>
      <c r="R16" s="47">
        <v>1.872054668980045</v>
      </c>
      <c r="S16" s="47">
        <v>1.838072593594027</v>
      </c>
      <c r="T16" s="47">
        <v>1.805230098419274</v>
      </c>
    </row>
    <row r="17" spans="1:20" x14ac:dyDescent="0.45">
      <c r="A17" s="40">
        <v>14000</v>
      </c>
      <c r="B17" s="47">
        <v>3.0239402022280739</v>
      </c>
      <c r="C17" s="47">
        <v>2.9008606621848609</v>
      </c>
      <c r="D17" s="47">
        <v>2.7927122749637592</v>
      </c>
      <c r="E17" s="47">
        <v>2.6938991133228898</v>
      </c>
      <c r="F17" s="47">
        <v>2.6103610315248948</v>
      </c>
      <c r="G17" s="47">
        <v>2.5259387673134039</v>
      </c>
      <c r="H17" s="47">
        <v>2.451355931106912</v>
      </c>
      <c r="I17" s="47">
        <v>2.3827771999280229</v>
      </c>
      <c r="J17" s="47">
        <v>2.3204673983380601</v>
      </c>
      <c r="K17" s="47">
        <v>2.2616484351160429</v>
      </c>
      <c r="L17" s="47">
        <v>2.206901793615804</v>
      </c>
      <c r="M17" s="47">
        <v>2.1566141156162799</v>
      </c>
      <c r="N17" s="47">
        <v>2.108671682731492</v>
      </c>
      <c r="O17" s="47">
        <v>2.063640606907132</v>
      </c>
      <c r="P17" s="47">
        <v>2.021235830339136</v>
      </c>
      <c r="Q17" s="47">
        <v>1.9812099763136051</v>
      </c>
      <c r="R17" s="47">
        <v>1.942722941787155</v>
      </c>
      <c r="S17" s="47">
        <v>1.9074580755650981</v>
      </c>
      <c r="T17" s="47">
        <v>1.873375807617075</v>
      </c>
    </row>
    <row r="18" spans="1:20" x14ac:dyDescent="0.45">
      <c r="A18" s="40">
        <v>15000</v>
      </c>
      <c r="B18" s="47">
        <v>3.1300754806025211</v>
      </c>
      <c r="C18" s="47">
        <v>3.0026760531372418</v>
      </c>
      <c r="D18" s="47">
        <v>2.8907318371576878</v>
      </c>
      <c r="E18" s="47">
        <v>2.788450497670548</v>
      </c>
      <c r="F18" s="47">
        <v>2.701980367957066</v>
      </c>
      <c r="G18" s="47">
        <v>2.6145950224959909</v>
      </c>
      <c r="H18" s="47">
        <v>2.5373944526197332</v>
      </c>
      <c r="I18" s="47">
        <v>2.4664087218848101</v>
      </c>
      <c r="J18" s="47">
        <v>2.4019119497547772</v>
      </c>
      <c r="K18" s="47">
        <v>2.3410285386211682</v>
      </c>
      <c r="L18" s="47">
        <v>2.2843603809377031</v>
      </c>
      <c r="M18" s="47">
        <v>2.2323076889675471</v>
      </c>
      <c r="N18" s="47">
        <v>2.182682556320235</v>
      </c>
      <c r="O18" s="47">
        <v>2.1360709645304481</v>
      </c>
      <c r="P18" s="47">
        <v>2.092177850738675</v>
      </c>
      <c r="Q18" s="47">
        <v>2.0507471557192489</v>
      </c>
      <c r="R18" s="47">
        <v>2.0109092902073651</v>
      </c>
      <c r="S18" s="47">
        <v>1.9744066857553799</v>
      </c>
      <c r="T18" s="47">
        <v>1.9391281868125669</v>
      </c>
    </row>
    <row r="19" spans="1:20" x14ac:dyDescent="0.45">
      <c r="A19" s="40">
        <v>16000</v>
      </c>
      <c r="B19" s="47">
        <v>3.2327280556655298</v>
      </c>
      <c r="C19" s="47">
        <v>3.1011504927616951</v>
      </c>
      <c r="D19" s="47">
        <v>2.9855350036435451</v>
      </c>
      <c r="E19" s="47">
        <v>2.8798992904538179</v>
      </c>
      <c r="F19" s="47">
        <v>2.7905933245005619</v>
      </c>
      <c r="G19" s="47">
        <v>2.7003421277876751</v>
      </c>
      <c r="H19" s="47">
        <v>2.6206097220680831</v>
      </c>
      <c r="I19" s="47">
        <v>2.54729597461349</v>
      </c>
      <c r="J19" s="47">
        <v>2.4806839947884889</v>
      </c>
      <c r="K19" s="47">
        <v>2.4178038781536189</v>
      </c>
      <c r="L19" s="47">
        <v>2.3592772565620672</v>
      </c>
      <c r="M19" s="47">
        <v>2.305517467461887</v>
      </c>
      <c r="N19" s="47">
        <v>2.2542648508495211</v>
      </c>
      <c r="O19" s="47">
        <v>2.2061246058516382</v>
      </c>
      <c r="P19" s="47">
        <v>2.1607919928573112</v>
      </c>
      <c r="Q19" s="47">
        <v>2.118002555035436</v>
      </c>
      <c r="R19" s="47">
        <v>2.0768581844551739</v>
      </c>
      <c r="S19" s="47">
        <v>2.039158456685644</v>
      </c>
      <c r="T19" s="47">
        <v>2.0027229796497221</v>
      </c>
    </row>
    <row r="20" spans="1:20" x14ac:dyDescent="0.45">
      <c r="A20" s="40">
        <v>17000</v>
      </c>
      <c r="B20" s="47">
        <v>3.3322198081016481</v>
      </c>
      <c r="C20" s="47">
        <v>3.1965927606481812</v>
      </c>
      <c r="D20" s="47">
        <v>3.0774190422502858</v>
      </c>
      <c r="E20" s="47">
        <v>2.9685322414206108</v>
      </c>
      <c r="F20" s="47">
        <v>2.8764777587648389</v>
      </c>
      <c r="G20" s="47">
        <v>2.7834489545434309</v>
      </c>
      <c r="H20" s="47">
        <v>2.7012626719018118</v>
      </c>
      <c r="I20" s="47">
        <v>2.6256925907605249</v>
      </c>
      <c r="J20" s="47">
        <v>2.5570305335730281</v>
      </c>
      <c r="K20" s="47">
        <v>2.4922151929138461</v>
      </c>
      <c r="L20" s="47">
        <v>2.431887332230716</v>
      </c>
      <c r="M20" s="47">
        <v>2.376473010012973</v>
      </c>
      <c r="N20" s="47">
        <v>2.3236430220424542</v>
      </c>
      <c r="O20" s="47">
        <v>2.2740211933001069</v>
      </c>
      <c r="P20" s="47">
        <v>2.2272934053848941</v>
      </c>
      <c r="Q20" s="47">
        <v>2.1831870624347949</v>
      </c>
      <c r="R20" s="47">
        <v>2.1407764159843019</v>
      </c>
      <c r="S20" s="47">
        <v>2.1019164260716021</v>
      </c>
      <c r="T20" s="47">
        <v>2.064359595986883</v>
      </c>
    </row>
    <row r="21" spans="1:20" x14ac:dyDescent="0.45">
      <c r="A21" s="40">
        <v>18000</v>
      </c>
      <c r="B21" s="47">
        <v>3.4288258948396488</v>
      </c>
      <c r="C21" s="47">
        <v>3.289266814367696</v>
      </c>
      <c r="D21" s="47">
        <v>3.166638069819232</v>
      </c>
      <c r="E21" s="47">
        <v>3.0545944761213319</v>
      </c>
      <c r="F21" s="47">
        <v>2.959871194932389</v>
      </c>
      <c r="G21" s="47">
        <v>2.8641453451235628</v>
      </c>
      <c r="H21" s="47">
        <v>2.7795763579766031</v>
      </c>
      <c r="I21" s="47">
        <v>2.701815386007592</v>
      </c>
      <c r="J21" s="47">
        <v>2.6311627120438121</v>
      </c>
      <c r="K21" s="47">
        <v>2.5644682767323359</v>
      </c>
      <c r="L21" s="47">
        <v>2.5023914202213482</v>
      </c>
      <c r="M21" s="47">
        <v>2.445370553079504</v>
      </c>
      <c r="N21" s="47">
        <v>2.3910089439392661</v>
      </c>
      <c r="O21" s="47">
        <v>2.3399485034102891</v>
      </c>
      <c r="P21" s="47">
        <v>2.291866006324498</v>
      </c>
      <c r="Q21" s="47">
        <v>2.2464809538539861</v>
      </c>
      <c r="R21" s="47">
        <v>2.2028407586865528</v>
      </c>
      <c r="S21" s="47">
        <v>2.1628541589544712</v>
      </c>
      <c r="T21" s="47">
        <v>2.1242084996226689</v>
      </c>
    </row>
    <row r="22" spans="1:20" x14ac:dyDescent="0.45">
      <c r="A22" s="40">
        <v>19000</v>
      </c>
      <c r="B22" s="47">
        <v>3.522783726648695</v>
      </c>
      <c r="C22" s="47">
        <v>3.3794004016648982</v>
      </c>
      <c r="D22" s="47">
        <v>3.253411343321388</v>
      </c>
      <c r="E22" s="47">
        <v>3.1382974936656711</v>
      </c>
      <c r="F22" s="47">
        <v>3.0409785735042889</v>
      </c>
      <c r="G22" s="47">
        <v>2.9426296120030169</v>
      </c>
      <c r="H22" s="47">
        <v>2.8557432372387468</v>
      </c>
      <c r="I22" s="47">
        <v>2.7758514331570381</v>
      </c>
      <c r="J22" s="47">
        <v>2.703262711035451</v>
      </c>
      <c r="K22" s="47">
        <v>2.634740692543089</v>
      </c>
      <c r="L22" s="47">
        <v>2.5709627852869832</v>
      </c>
      <c r="M22" s="47">
        <v>2.512379413308548</v>
      </c>
      <c r="N22" s="47">
        <v>2.4565281692072132</v>
      </c>
      <c r="O22" s="47">
        <v>2.404068553441447</v>
      </c>
      <c r="P22" s="47">
        <v>2.35466848371922</v>
      </c>
      <c r="Q22" s="47">
        <v>2.3080397748901009</v>
      </c>
      <c r="R22" s="47">
        <v>2.2632037365263651</v>
      </c>
      <c r="S22" s="47">
        <v>2.222121410639772</v>
      </c>
      <c r="T22" s="47">
        <v>2.1824167700499499</v>
      </c>
    </row>
    <row r="23" spans="1:20" ht="17" customHeight="1" thickBot="1" x14ac:dyDescent="0.5">
      <c r="A23" s="41">
        <v>20000</v>
      </c>
      <c r="B23" s="47">
        <v>3.6142998426194248</v>
      </c>
      <c r="C23" s="47">
        <v>3.4671916551360602</v>
      </c>
      <c r="D23" s="47">
        <v>3.3379296086760251</v>
      </c>
      <c r="E23" s="47">
        <v>3.2198252909040739</v>
      </c>
      <c r="F23" s="47">
        <v>3.119978185570194</v>
      </c>
      <c r="G23" s="47">
        <v>3.019074280119832</v>
      </c>
      <c r="H23" s="47">
        <v>2.9299307405205322</v>
      </c>
      <c r="I23" s="47">
        <v>2.847963479023671</v>
      </c>
      <c r="J23" s="47">
        <v>2.7734890215213981</v>
      </c>
      <c r="K23" s="47">
        <v>2.7031869139070559</v>
      </c>
      <c r="L23" s="47">
        <v>2.6377521617209969</v>
      </c>
      <c r="M23" s="47">
        <v>2.5776468902789702</v>
      </c>
      <c r="N23" s="47">
        <v>2.5203447228939759</v>
      </c>
      <c r="O23" s="47">
        <v>2.466522292759596</v>
      </c>
      <c r="P23" s="47">
        <v>2.4158388906330939</v>
      </c>
      <c r="Q23" s="47">
        <v>2.3679988447887359</v>
      </c>
      <c r="R23" s="47">
        <v>2.3219980400342828</v>
      </c>
      <c r="S23" s="47">
        <v>2.2798484630213309</v>
      </c>
      <c r="T23" s="47">
        <v>2.239112361298853</v>
      </c>
    </row>
  </sheetData>
  <mergeCells count="1">
    <mergeCell ref="B3:T3"/>
  </mergeCells>
  <phoneticPr fontId="1" type="noConversion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临界携液流量计算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WWZ</dc:creator>
  <cp:lastModifiedBy>陈强强</cp:lastModifiedBy>
  <dcterms:created xsi:type="dcterms:W3CDTF">2021-09-02T06:02:03Z</dcterms:created>
  <dcterms:modified xsi:type="dcterms:W3CDTF">2021-09-09T05:56:42Z</dcterms:modified>
</cp:coreProperties>
</file>