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59DB4EF-B5A2-40C3-A1C5-16C97EBFD84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8" i="1" l="1"/>
  <c r="AB32" i="1"/>
  <c r="K69" i="1"/>
  <c r="W64" i="1"/>
  <c r="D82" i="1"/>
  <c r="L104" i="1" l="1"/>
  <c r="D102" i="1"/>
  <c r="D92" i="1"/>
  <c r="H93" i="1"/>
  <c r="Q43" i="1"/>
  <c r="P43" i="1"/>
  <c r="S42" i="1"/>
  <c r="X43" i="1"/>
  <c r="W43" i="1"/>
  <c r="V43" i="1"/>
  <c r="U43" i="1"/>
  <c r="T43" i="1"/>
  <c r="S43" i="1"/>
  <c r="H43" i="1"/>
  <c r="R43" i="1"/>
  <c r="C92" i="1"/>
  <c r="E92" i="1"/>
  <c r="I92" i="1"/>
  <c r="H92" i="1"/>
  <c r="G103" i="1"/>
  <c r="F103" i="1"/>
  <c r="G93" i="1"/>
  <c r="G92" i="1"/>
  <c r="I91" i="1"/>
  <c r="F93" i="1"/>
  <c r="F92" i="1"/>
  <c r="F89" i="1"/>
  <c r="D90" i="1"/>
  <c r="K73" i="1"/>
  <c r="D72" i="1"/>
  <c r="C73" i="1"/>
  <c r="C72" i="1"/>
  <c r="G73" i="1"/>
  <c r="G72" i="1"/>
  <c r="H73" i="1"/>
  <c r="H72" i="1"/>
  <c r="F73" i="1"/>
  <c r="F72" i="1"/>
  <c r="C83" i="1"/>
  <c r="C82" i="1"/>
  <c r="G83" i="1"/>
  <c r="H83" i="1"/>
  <c r="F83" i="1"/>
  <c r="C34" i="1"/>
  <c r="U32" i="1"/>
  <c r="R41" i="1"/>
  <c r="R42" i="1" s="1"/>
  <c r="V42" i="1"/>
  <c r="T42" i="1"/>
  <c r="Q42" i="1"/>
  <c r="X41" i="1"/>
  <c r="X42" i="1" s="1"/>
  <c r="W41" i="1"/>
  <c r="W42" i="1" s="1"/>
  <c r="V41" i="1"/>
  <c r="U41" i="1"/>
  <c r="U42" i="1" s="1"/>
  <c r="T41" i="1"/>
  <c r="S41" i="1"/>
  <c r="Q41" i="1"/>
  <c r="P40" i="1"/>
  <c r="C103" i="1" l="1"/>
  <c r="H103" i="1" s="1"/>
  <c r="P42" i="1"/>
  <c r="O64" i="1"/>
  <c r="D34" i="1" s="1"/>
  <c r="D53" i="1"/>
  <c r="C93" i="1" l="1"/>
  <c r="F90" i="1"/>
  <c r="G34" i="1"/>
  <c r="X34" i="1"/>
  <c r="F100" i="1"/>
  <c r="I34" i="1"/>
  <c r="H34" i="1"/>
  <c r="F34" i="1"/>
  <c r="E34" i="1"/>
  <c r="L81" i="1"/>
  <c r="L82" i="1" s="1"/>
  <c r="H78" i="1" s="1"/>
  <c r="D78" i="1" s="1"/>
  <c r="K70" i="1"/>
  <c r="K71" i="1" s="1"/>
  <c r="K72" i="1" s="1"/>
  <c r="U64" i="1"/>
  <c r="F70" i="1"/>
  <c r="J54" i="1"/>
  <c r="K54" i="1" s="1"/>
  <c r="J57" i="1"/>
  <c r="K57" i="1" s="1"/>
  <c r="J58" i="1"/>
  <c r="K58" i="1" s="1"/>
  <c r="J59" i="1"/>
  <c r="K59" i="1" s="1"/>
  <c r="J60" i="1"/>
  <c r="K60" i="1" s="1"/>
  <c r="J53" i="1"/>
  <c r="K53" i="1" s="1"/>
  <c r="J55" i="1"/>
  <c r="K55" i="1" s="1"/>
  <c r="I64" i="1"/>
  <c r="J62" i="1"/>
  <c r="K62" i="1" s="1"/>
  <c r="J61" i="1"/>
  <c r="K61" i="1" s="1"/>
  <c r="J56" i="1"/>
  <c r="K56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E53" i="1"/>
  <c r="E41" i="1"/>
  <c r="C64" i="1"/>
  <c r="I93" i="1" l="1"/>
  <c r="E93" i="1" s="1"/>
  <c r="F88" i="1"/>
  <c r="G88" i="1" s="1"/>
  <c r="G89" i="1" s="1"/>
  <c r="G90" i="1" s="1"/>
  <c r="G91" i="1" s="1"/>
  <c r="F98" i="1"/>
  <c r="G98" i="1" s="1"/>
  <c r="F59" i="1"/>
  <c r="F58" i="1"/>
  <c r="F53" i="1"/>
  <c r="F57" i="1"/>
  <c r="F56" i="1"/>
  <c r="F54" i="1"/>
  <c r="F61" i="1"/>
  <c r="F55" i="1"/>
  <c r="F62" i="1"/>
  <c r="F63" i="1"/>
  <c r="F60" i="1"/>
  <c r="F81" i="1"/>
  <c r="V34" i="1"/>
  <c r="L34" i="1"/>
  <c r="W34" i="1"/>
  <c r="U34" i="1"/>
  <c r="F101" i="1"/>
  <c r="T34" i="1"/>
  <c r="F91" i="1"/>
  <c r="P34" i="1"/>
  <c r="M34" i="1"/>
  <c r="N34" i="1"/>
  <c r="Q34" i="1"/>
  <c r="O34" i="1"/>
  <c r="S34" i="1"/>
  <c r="F79" i="1"/>
  <c r="L53" i="1"/>
  <c r="L55" i="1"/>
  <c r="L56" i="1"/>
  <c r="L54" i="1"/>
  <c r="L60" i="1"/>
  <c r="L57" i="1"/>
  <c r="L58" i="1"/>
  <c r="F99" i="1"/>
  <c r="L59" i="1"/>
  <c r="L61" i="1"/>
  <c r="L62" i="1"/>
  <c r="F78" i="1"/>
  <c r="G78" i="1" s="1"/>
  <c r="R64" i="1"/>
  <c r="G79" i="1"/>
  <c r="E64" i="1"/>
  <c r="H68" i="1" s="1"/>
  <c r="F68" i="1"/>
  <c r="G68" i="1" s="1"/>
  <c r="F69" i="1"/>
  <c r="F71" i="1"/>
  <c r="F80" i="1"/>
  <c r="K64" i="1"/>
  <c r="X32" i="1"/>
  <c r="W32" i="1"/>
  <c r="V32" i="1"/>
  <c r="B40" i="1"/>
  <c r="X35" i="1"/>
  <c r="X36" i="1" s="1"/>
  <c r="W35" i="1"/>
  <c r="W36" i="1" s="1"/>
  <c r="V35" i="1"/>
  <c r="V36" i="1" s="1"/>
  <c r="U35" i="1"/>
  <c r="U36" i="1" s="1"/>
  <c r="K41" i="1"/>
  <c r="K42" i="1" s="1"/>
  <c r="I41" i="1"/>
  <c r="I42" i="1" s="1"/>
  <c r="J41" i="1"/>
  <c r="J42" i="1" s="1"/>
  <c r="H41" i="1"/>
  <c r="H42" i="1" s="1"/>
  <c r="E42" i="1"/>
  <c r="G41" i="1"/>
  <c r="G42" i="1" s="1"/>
  <c r="F41" i="1"/>
  <c r="F42" i="1" s="1"/>
  <c r="D41" i="1"/>
  <c r="D42" i="1" s="1"/>
  <c r="C41" i="1"/>
  <c r="C42" i="1" s="1"/>
  <c r="T36" i="1"/>
  <c r="P35" i="1"/>
  <c r="P36" i="1" s="1"/>
  <c r="G35" i="1"/>
  <c r="G36" i="1" s="1"/>
  <c r="D35" i="1"/>
  <c r="D36" i="1" s="1"/>
  <c r="E35" i="1"/>
  <c r="E36" i="1" s="1"/>
  <c r="F35" i="1"/>
  <c r="F36" i="1" s="1"/>
  <c r="H35" i="1"/>
  <c r="H36" i="1" s="1"/>
  <c r="I35" i="1"/>
  <c r="I36" i="1" s="1"/>
  <c r="L35" i="1"/>
  <c r="L36" i="1" s="1"/>
  <c r="M35" i="1"/>
  <c r="M36" i="1" s="1"/>
  <c r="N35" i="1"/>
  <c r="N36" i="1" s="1"/>
  <c r="O35" i="1"/>
  <c r="O36" i="1" s="1"/>
  <c r="Q35" i="1"/>
  <c r="Q36" i="1" s="1"/>
  <c r="S35" i="1"/>
  <c r="S36" i="1" s="1"/>
  <c r="C35" i="1"/>
  <c r="C36" i="1" s="1"/>
  <c r="F102" i="1" l="1"/>
  <c r="K43" i="1"/>
  <c r="D43" i="1"/>
  <c r="I43" i="1"/>
  <c r="J43" i="1"/>
  <c r="G43" i="1"/>
  <c r="F43" i="1"/>
  <c r="E43" i="1"/>
  <c r="C43" i="1"/>
  <c r="B43" i="1" s="1"/>
  <c r="L64" i="1"/>
  <c r="F64" i="1"/>
  <c r="X64" i="1"/>
  <c r="C90" i="1"/>
  <c r="H90" i="1" s="1"/>
  <c r="C100" i="1"/>
  <c r="H100" i="1" s="1"/>
  <c r="G99" i="1"/>
  <c r="G100" i="1" s="1"/>
  <c r="G101" i="1" s="1"/>
  <c r="G80" i="1"/>
  <c r="G81" i="1" s="1"/>
  <c r="B36" i="1"/>
  <c r="AB34" i="1" s="1"/>
  <c r="G69" i="1"/>
  <c r="G70" i="1" s="1"/>
  <c r="G71" i="1" s="1"/>
  <c r="H69" i="1"/>
  <c r="C69" i="1" s="1"/>
  <c r="H79" i="1"/>
  <c r="C79" i="1" s="1"/>
  <c r="F82" i="1"/>
  <c r="I68" i="1"/>
  <c r="C68" i="1"/>
  <c r="Q64" i="1"/>
  <c r="B42" i="1"/>
  <c r="H102" i="1" l="1"/>
  <c r="I78" i="1"/>
  <c r="E78" i="1" s="1"/>
  <c r="C88" i="1"/>
  <c r="H88" i="1" s="1"/>
  <c r="C98" i="1"/>
  <c r="C89" i="1"/>
  <c r="H89" i="1" s="1"/>
  <c r="C99" i="1"/>
  <c r="H99" i="1" s="1"/>
  <c r="G102" i="1"/>
  <c r="D100" i="1"/>
  <c r="C102" i="1"/>
  <c r="C91" i="1"/>
  <c r="H91" i="1" s="1"/>
  <c r="C101" i="1"/>
  <c r="H101" i="1" s="1"/>
  <c r="C78" i="1"/>
  <c r="G82" i="1"/>
  <c r="I79" i="1"/>
  <c r="E79" i="1" s="1"/>
  <c r="C49" i="1"/>
  <c r="H82" i="1"/>
  <c r="H70" i="1"/>
  <c r="H80" i="1"/>
  <c r="H81" i="1"/>
  <c r="H71" i="1"/>
  <c r="C71" i="1" s="1"/>
  <c r="D68" i="1"/>
  <c r="I69" i="1"/>
  <c r="E68" i="1"/>
  <c r="S33" i="1"/>
  <c r="Q33" i="1"/>
  <c r="O33" i="1"/>
  <c r="N33" i="1"/>
  <c r="M33" i="1"/>
  <c r="L33" i="1"/>
  <c r="I33" i="1"/>
  <c r="H33" i="1"/>
  <c r="F33" i="1"/>
  <c r="E33" i="1"/>
  <c r="D33" i="1"/>
  <c r="C33" i="1"/>
  <c r="C32" i="1"/>
  <c r="K32" i="1"/>
  <c r="C81" i="1" l="1"/>
  <c r="D80" i="1"/>
  <c r="I98" i="1"/>
  <c r="D98" i="1"/>
  <c r="I88" i="1"/>
  <c r="D88" i="1"/>
  <c r="I80" i="1"/>
  <c r="E80" i="1" s="1"/>
  <c r="D70" i="1"/>
  <c r="C70" i="1"/>
  <c r="I70" i="1"/>
  <c r="E69" i="1"/>
  <c r="C80" i="1"/>
  <c r="C50" i="1"/>
  <c r="B33" i="1"/>
  <c r="D32" i="1"/>
  <c r="E32" i="1"/>
  <c r="F32" i="1"/>
  <c r="H32" i="1"/>
  <c r="I32" i="1"/>
  <c r="L32" i="1"/>
  <c r="M32" i="1"/>
  <c r="N32" i="1"/>
  <c r="O32" i="1"/>
  <c r="Q32" i="1"/>
  <c r="S32" i="1"/>
  <c r="I89" i="1" l="1"/>
  <c r="E88" i="1"/>
  <c r="E98" i="1"/>
  <c r="I99" i="1"/>
  <c r="I81" i="1"/>
  <c r="I71" i="1"/>
  <c r="E70" i="1"/>
  <c r="B32" i="1"/>
  <c r="Z32" i="1" s="1"/>
  <c r="E81" i="1" l="1"/>
  <c r="I82" i="1"/>
  <c r="I100" i="1"/>
  <c r="E99" i="1"/>
  <c r="I90" i="1"/>
  <c r="E89" i="1"/>
  <c r="I72" i="1"/>
  <c r="E71" i="1"/>
  <c r="E72" i="1" l="1"/>
  <c r="I73" i="1"/>
  <c r="E73" i="1" s="1"/>
  <c r="E82" i="1"/>
  <c r="I83" i="1"/>
  <c r="E83" i="1" s="1"/>
  <c r="E90" i="1"/>
  <c r="E100" i="1"/>
  <c r="I101" i="1"/>
  <c r="I102" i="1" l="1"/>
  <c r="E101" i="1"/>
  <c r="E91" i="1"/>
  <c r="E102" i="1" l="1"/>
  <c r="I103" i="1"/>
  <c r="E103" i="1" s="1"/>
</calcChain>
</file>

<file path=xl/sharedStrings.xml><?xml version="1.0" encoding="utf-8"?>
<sst xmlns="http://schemas.openxmlformats.org/spreadsheetml/2006/main" count="775" uniqueCount="267">
  <si>
    <t>学号</t>
    <phoneticPr fontId="2" type="noConversion"/>
  </si>
  <si>
    <t>姓名</t>
    <phoneticPr fontId="2" type="noConversion"/>
  </si>
  <si>
    <t>电路原理（2）（3）</t>
    <phoneticPr fontId="2" type="noConversion"/>
  </si>
  <si>
    <t>概率论与数理统计（3.5）</t>
    <phoneticPr fontId="2" type="noConversion"/>
  </si>
  <si>
    <t>光学（3.5）</t>
    <phoneticPr fontId="2" type="noConversion"/>
  </si>
  <si>
    <t>电磁学（4）</t>
    <phoneticPr fontId="2" type="noConversion"/>
  </si>
  <si>
    <t>理科物理实验（一）（1）</t>
    <phoneticPr fontId="2" type="noConversion"/>
  </si>
  <si>
    <t>大学英语（三）（2）</t>
    <phoneticPr fontId="2" type="noConversion"/>
  </si>
  <si>
    <t>体育（三）（0.75）</t>
    <phoneticPr fontId="2" type="noConversion"/>
  </si>
  <si>
    <t>数学物理方法（4）</t>
    <phoneticPr fontId="2" type="noConversion"/>
  </si>
  <si>
    <t>理论力学（3）</t>
    <phoneticPr fontId="2" type="noConversion"/>
  </si>
  <si>
    <t>电动力学（3.5）</t>
    <phoneticPr fontId="2" type="noConversion"/>
  </si>
  <si>
    <t>原子物理（3)</t>
    <phoneticPr fontId="2" type="noConversion"/>
  </si>
  <si>
    <t>理科物理实验（二）（1）</t>
    <phoneticPr fontId="2" type="noConversion"/>
  </si>
  <si>
    <t>体育（四）（0.75）</t>
    <phoneticPr fontId="2" type="noConversion"/>
  </si>
  <si>
    <t>文献检索（1）</t>
    <phoneticPr fontId="2" type="noConversion"/>
  </si>
  <si>
    <t>军事理论（1）</t>
    <phoneticPr fontId="2" type="noConversion"/>
  </si>
  <si>
    <t>形势与政策（0.5）</t>
    <phoneticPr fontId="2" type="noConversion"/>
  </si>
  <si>
    <t>20161158</t>
  </si>
  <si>
    <t>张开迪</t>
  </si>
  <si>
    <t>85</t>
  </si>
  <si>
    <t>90</t>
  </si>
  <si>
    <t>70</t>
  </si>
  <si>
    <t>良</t>
  </si>
  <si>
    <t>66</t>
  </si>
  <si>
    <t>77</t>
  </si>
  <si>
    <t>75</t>
  </si>
  <si>
    <t>83</t>
  </si>
  <si>
    <t>67</t>
  </si>
  <si>
    <t>94</t>
  </si>
  <si>
    <t>优</t>
  </si>
  <si>
    <t>81</t>
  </si>
  <si>
    <t>合格</t>
  </si>
  <si>
    <t>20161168</t>
  </si>
  <si>
    <t>赵梦麟</t>
  </si>
  <si>
    <t>69</t>
  </si>
  <si>
    <t>84</t>
  </si>
  <si>
    <t>92</t>
  </si>
  <si>
    <t>80</t>
  </si>
  <si>
    <t>71</t>
  </si>
  <si>
    <t>64</t>
  </si>
  <si>
    <t>及格</t>
  </si>
  <si>
    <t>20161183</t>
  </si>
  <si>
    <t>贾孟达</t>
  </si>
  <si>
    <t>60</t>
  </si>
  <si>
    <t>65</t>
  </si>
  <si>
    <t>72</t>
  </si>
  <si>
    <t>88</t>
  </si>
  <si>
    <t>20161204</t>
  </si>
  <si>
    <t>赵辰昊</t>
  </si>
  <si>
    <t>68</t>
  </si>
  <si>
    <t>96</t>
  </si>
  <si>
    <t>87</t>
  </si>
  <si>
    <t>82</t>
  </si>
  <si>
    <t>20161232</t>
  </si>
  <si>
    <t>王鉴</t>
  </si>
  <si>
    <t>79</t>
  </si>
  <si>
    <t>62</t>
  </si>
  <si>
    <t>76</t>
  </si>
  <si>
    <t>61</t>
  </si>
  <si>
    <t>74</t>
  </si>
  <si>
    <t>89</t>
  </si>
  <si>
    <t>20161235</t>
  </si>
  <si>
    <t>程可</t>
  </si>
  <si>
    <t>98</t>
  </si>
  <si>
    <t>20161247</t>
  </si>
  <si>
    <t>王扬帆</t>
  </si>
  <si>
    <t>63</t>
  </si>
  <si>
    <t>95</t>
  </si>
  <si>
    <t>中</t>
  </si>
  <si>
    <t>20161250</t>
  </si>
  <si>
    <t>闫大伟</t>
  </si>
  <si>
    <t>93</t>
  </si>
  <si>
    <t>97</t>
  </si>
  <si>
    <t>20161281</t>
  </si>
  <si>
    <t>张洪霄</t>
  </si>
  <si>
    <t>20161304</t>
  </si>
  <si>
    <t>刘勐</t>
  </si>
  <si>
    <t>73</t>
  </si>
  <si>
    <t>78</t>
  </si>
  <si>
    <t>20161309</t>
  </si>
  <si>
    <t>王健</t>
  </si>
  <si>
    <t>91</t>
  </si>
  <si>
    <t>20161351</t>
  </si>
  <si>
    <t>钟泳盛</t>
  </si>
  <si>
    <t>20161352</t>
  </si>
  <si>
    <t>孔英檩</t>
  </si>
  <si>
    <t>20161376</t>
  </si>
  <si>
    <t>姚昊</t>
  </si>
  <si>
    <t>20161386</t>
  </si>
  <si>
    <t>宋昱昱</t>
  </si>
  <si>
    <t>86</t>
  </si>
  <si>
    <t>20161397</t>
  </si>
  <si>
    <t>喻林</t>
  </si>
  <si>
    <t>20161399</t>
  </si>
  <si>
    <t>余乐</t>
  </si>
  <si>
    <t>20161411</t>
  </si>
  <si>
    <t>黄洋洋</t>
  </si>
  <si>
    <t>20161413</t>
  </si>
  <si>
    <t>谢尘竹</t>
  </si>
  <si>
    <t>99</t>
  </si>
  <si>
    <t>20161416</t>
  </si>
  <si>
    <t>王瑞博</t>
  </si>
  <si>
    <t>20161422</t>
  </si>
  <si>
    <t>彭潇</t>
  </si>
  <si>
    <t>20161436</t>
  </si>
  <si>
    <t>黄佳琦</t>
  </si>
  <si>
    <t>44</t>
  </si>
  <si>
    <t>46</t>
  </si>
  <si>
    <t>20161448</t>
  </si>
  <si>
    <t>白美璇</t>
  </si>
  <si>
    <t>50</t>
  </si>
  <si>
    <t>20161450</t>
  </si>
  <si>
    <t>马明元</t>
  </si>
  <si>
    <t>20161457</t>
  </si>
  <si>
    <t>翟心哲</t>
  </si>
  <si>
    <t>20161502</t>
  </si>
  <si>
    <t>周世平</t>
  </si>
  <si>
    <t>20161732</t>
  </si>
  <si>
    <t>梁正国</t>
  </si>
  <si>
    <t>20162730</t>
  </si>
  <si>
    <t>樊东泽</t>
  </si>
  <si>
    <t>20151122</t>
  </si>
  <si>
    <t>李振</t>
  </si>
  <si>
    <t>良</t>
    <phoneticPr fontId="2" type="noConversion"/>
  </si>
  <si>
    <t>0.4</t>
    <phoneticPr fontId="2" type="noConversion"/>
  </si>
  <si>
    <t>0.4</t>
    <phoneticPr fontId="2" type="noConversion"/>
  </si>
  <si>
    <t>优</t>
    <phoneticPr fontId="2" type="noConversion"/>
  </si>
  <si>
    <t>大三上学期的各科学分</t>
    <phoneticPr fontId="2" type="noConversion"/>
  </si>
  <si>
    <t>大三上后的各科成绩</t>
    <phoneticPr fontId="2" type="noConversion"/>
  </si>
  <si>
    <t>大三上学期的各科成绩转换为绩点</t>
    <phoneticPr fontId="2" type="noConversion"/>
  </si>
  <si>
    <t>绩点*学分作为分子的求和项之一</t>
    <phoneticPr fontId="2" type="noConversion"/>
  </si>
  <si>
    <t>总学分</t>
    <phoneticPr fontId="2" type="noConversion"/>
  </si>
  <si>
    <t>大二学年的各科学分</t>
    <phoneticPr fontId="2" type="noConversion"/>
  </si>
  <si>
    <t>大二学年的各科成绩</t>
    <phoneticPr fontId="2" type="noConversion"/>
  </si>
  <si>
    <t>大三上学期之前or之后的总学分</t>
    <phoneticPr fontId="2" type="noConversion"/>
  </si>
  <si>
    <t>大三上学期各科绩点*学分之和</t>
    <phoneticPr fontId="2" type="noConversion"/>
  </si>
  <si>
    <t>大二学年后总绩点</t>
    <phoneticPr fontId="2" type="noConversion"/>
  </si>
  <si>
    <t>大三上学期之后的总绩点</t>
    <phoneticPr fontId="2" type="noConversion"/>
  </si>
  <si>
    <t>大一学年后总绩点</t>
    <phoneticPr fontId="2" type="noConversion"/>
  </si>
  <si>
    <t>工程训练</t>
    <phoneticPr fontId="2" type="noConversion"/>
  </si>
  <si>
    <t>认识实习</t>
    <phoneticPr fontId="2" type="noConversion"/>
  </si>
  <si>
    <t>思想政治理论实践</t>
    <phoneticPr fontId="2" type="noConversion"/>
  </si>
  <si>
    <t>良</t>
    <phoneticPr fontId="2" type="noConversion"/>
  </si>
  <si>
    <t>总学分1</t>
    <phoneticPr fontId="2" type="noConversion"/>
  </si>
  <si>
    <t>老樊的总学分1</t>
    <phoneticPr fontId="2" type="noConversion"/>
  </si>
  <si>
    <t>总学分2</t>
    <phoneticPr fontId="2" type="noConversion"/>
  </si>
  <si>
    <t>老樊的总学分2</t>
    <phoneticPr fontId="2" type="noConversion"/>
  </si>
  <si>
    <t>大二学年各科绩点*学分之和2</t>
    <phoneticPr fontId="2" type="noConversion"/>
  </si>
  <si>
    <t>大二学年各科绩点*学分之和1</t>
    <phoneticPr fontId="2" type="noConversion"/>
  </si>
  <si>
    <t>我在大二下一共有11门课</t>
    <phoneticPr fontId="2" type="noConversion"/>
  </si>
  <si>
    <t>集邮与艺术欣赏</t>
    <phoneticPr fontId="2" type="noConversion"/>
  </si>
  <si>
    <t>0.95</t>
    <phoneticPr fontId="2" type="noConversion"/>
  </si>
  <si>
    <t>正向计算</t>
    <phoneticPr fontId="2" type="noConversion"/>
  </si>
  <si>
    <t>合格</t>
    <phoneticPr fontId="2" type="noConversion"/>
  </si>
  <si>
    <t>优</t>
    <phoneticPr fontId="2" type="noConversion"/>
  </si>
  <si>
    <t>良</t>
    <phoneticPr fontId="2" type="noConversion"/>
  </si>
  <si>
    <t>中</t>
    <phoneticPr fontId="2" type="noConversion"/>
  </si>
  <si>
    <t>大一上学期的各科学分</t>
    <phoneticPr fontId="2" type="noConversion"/>
  </si>
  <si>
    <t>大一上学期的各科成绩</t>
    <phoneticPr fontId="2" type="noConversion"/>
  </si>
  <si>
    <t>大一下学期的各科成绩</t>
    <phoneticPr fontId="2" type="noConversion"/>
  </si>
  <si>
    <t>大一下学期的各科学分</t>
    <phoneticPr fontId="2" type="noConversion"/>
  </si>
  <si>
    <t>大一下学期的各科成绩转换为绩点</t>
    <phoneticPr fontId="2" type="noConversion"/>
  </si>
  <si>
    <t>大一上学期的各科成绩转换为绩点</t>
    <phoneticPr fontId="2" type="noConversion"/>
  </si>
  <si>
    <t>大一上共11门课</t>
    <phoneticPr fontId="2" type="noConversion"/>
  </si>
  <si>
    <t>大一下共10门课</t>
    <phoneticPr fontId="2" type="noConversion"/>
  </si>
  <si>
    <t>高级语言程序设计</t>
    <phoneticPr fontId="2" type="noConversion"/>
  </si>
  <si>
    <t>专业概论</t>
    <phoneticPr fontId="2" type="noConversion"/>
  </si>
  <si>
    <t>体育1</t>
    <phoneticPr fontId="2" type="noConversion"/>
  </si>
  <si>
    <t>入学教育</t>
    <phoneticPr fontId="2" type="noConversion"/>
  </si>
  <si>
    <t>大学生心理与健康1</t>
    <phoneticPr fontId="2" type="noConversion"/>
  </si>
  <si>
    <t>军训</t>
    <phoneticPr fontId="2" type="noConversion"/>
  </si>
  <si>
    <t>近现代史</t>
    <phoneticPr fontId="2" type="noConversion"/>
  </si>
  <si>
    <t>思想道德修养与法律基础</t>
    <phoneticPr fontId="2" type="noConversion"/>
  </si>
  <si>
    <t>微积分学1</t>
    <phoneticPr fontId="2" type="noConversion"/>
  </si>
  <si>
    <t>大学化学1</t>
    <phoneticPr fontId="2" type="noConversion"/>
  </si>
  <si>
    <t>大学英语1</t>
    <phoneticPr fontId="2" type="noConversion"/>
  </si>
  <si>
    <t>物理与人类未来</t>
    <phoneticPr fontId="2" type="noConversion"/>
  </si>
  <si>
    <t>体育2</t>
    <phoneticPr fontId="2" type="noConversion"/>
  </si>
  <si>
    <t>大学生心理与健康教育2</t>
    <phoneticPr fontId="2" type="noConversion"/>
  </si>
  <si>
    <t>形势与政策1</t>
    <phoneticPr fontId="2" type="noConversion"/>
  </si>
  <si>
    <t>创业基础</t>
    <phoneticPr fontId="2" type="noConversion"/>
  </si>
  <si>
    <t>微积分学2</t>
    <phoneticPr fontId="2" type="noConversion"/>
  </si>
  <si>
    <t>线性代数</t>
    <phoneticPr fontId="2" type="noConversion"/>
  </si>
  <si>
    <t>大学物理1</t>
    <phoneticPr fontId="2" type="noConversion"/>
  </si>
  <si>
    <t>大学化学2</t>
    <phoneticPr fontId="2" type="noConversion"/>
  </si>
  <si>
    <t>大学英语2</t>
    <phoneticPr fontId="2" type="noConversion"/>
  </si>
  <si>
    <t>电子电工技术实验 电路部分</t>
    <phoneticPr fontId="2" type="noConversion"/>
  </si>
  <si>
    <t>电子电工技术实验 模拟电子部分</t>
    <phoneticPr fontId="2" type="noConversion"/>
  </si>
  <si>
    <t>计算物理学基础</t>
    <phoneticPr fontId="2" type="noConversion"/>
  </si>
  <si>
    <t>理科物理实验3</t>
    <phoneticPr fontId="2" type="noConversion"/>
  </si>
  <si>
    <t>热力学与统计物理</t>
    <phoneticPr fontId="2" type="noConversion"/>
  </si>
  <si>
    <t>磁学与应用技术</t>
    <phoneticPr fontId="2" type="noConversion"/>
  </si>
  <si>
    <t>量子力学(双语)</t>
    <phoneticPr fontId="2" type="noConversion"/>
  </si>
  <si>
    <t>马克思主义基本原理概论</t>
    <phoneticPr fontId="2" type="noConversion"/>
  </si>
  <si>
    <t>模拟电子技术基础</t>
    <phoneticPr fontId="2" type="noConversion"/>
  </si>
  <si>
    <t>大一上学期总绩点</t>
    <phoneticPr fontId="2" type="noConversion"/>
  </si>
  <si>
    <t>大二上学期总绩点</t>
    <phoneticPr fontId="2" type="noConversion"/>
  </si>
  <si>
    <t>大三上学期总绩点</t>
    <phoneticPr fontId="2" type="noConversion"/>
  </si>
  <si>
    <t>大一下学期总绩点</t>
    <phoneticPr fontId="2" type="noConversion"/>
  </si>
  <si>
    <t>大二下学期总绩点</t>
    <phoneticPr fontId="2" type="noConversion"/>
  </si>
  <si>
    <t>大一上学期各科绩点*学分之和</t>
    <phoneticPr fontId="2" type="noConversion"/>
  </si>
  <si>
    <t>单独一学期</t>
    <phoneticPr fontId="2" type="noConversion"/>
  </si>
  <si>
    <t>总的累积效应</t>
    <phoneticPr fontId="2" type="noConversion"/>
  </si>
  <si>
    <t>单独一年</t>
    <phoneticPr fontId="2" type="noConversion"/>
  </si>
  <si>
    <t>大二上学期</t>
    <phoneticPr fontId="2" type="noConversion"/>
  </si>
  <si>
    <t>大二下学期</t>
    <phoneticPr fontId="2" type="noConversion"/>
  </si>
  <si>
    <t>大二下学期各科绩点*学分之和</t>
    <phoneticPr fontId="2" type="noConversion"/>
  </si>
  <si>
    <t>大二上学期各科绩点*学分之和</t>
    <phoneticPr fontId="2" type="noConversion"/>
  </si>
  <si>
    <t>总学分</t>
    <phoneticPr fontId="2" type="noConversion"/>
  </si>
  <si>
    <t>课程总数</t>
    <phoneticPr fontId="2" type="noConversion"/>
  </si>
  <si>
    <t>课程数</t>
    <phoneticPr fontId="2" type="noConversion"/>
  </si>
  <si>
    <t>学期学分</t>
    <phoneticPr fontId="2" type="noConversion"/>
  </si>
  <si>
    <t>学期获得绩点分子</t>
    <phoneticPr fontId="2" type="noConversion"/>
  </si>
  <si>
    <t>小秘书上的科目中，教务处里没有的</t>
    <phoneticPr fontId="2" type="noConversion"/>
  </si>
  <si>
    <t>大学英语3</t>
    <phoneticPr fontId="2" type="noConversion"/>
  </si>
  <si>
    <t>集邮与艺术欣赏</t>
    <phoneticPr fontId="2" type="noConversion"/>
  </si>
  <si>
    <t>对应学分值</t>
    <phoneticPr fontId="2" type="noConversion"/>
  </si>
  <si>
    <t>基础分子值(绩点*学分)：</t>
    <phoneticPr fontId="2" type="noConversion"/>
  </si>
  <si>
    <t>给每位同学默认的得分(这门人人都学的隐藏课程的一致得分)：</t>
  </si>
  <si>
    <t>基础分母值(学分，相当于强制让你补一堂课，课程是硬性的——不上也得上，但也是隐形的——没上却上了)：</t>
    <phoneticPr fontId="2" type="noConversion"/>
  </si>
  <si>
    <t>理应的：</t>
    <phoneticPr fontId="2" type="noConversion"/>
  </si>
  <si>
    <t>实际的：</t>
    <phoneticPr fontId="2" type="noConversion"/>
  </si>
  <si>
    <t>大三下学期总绩点</t>
    <phoneticPr fontId="2" type="noConversion"/>
  </si>
  <si>
    <t>大四上学期总绩点</t>
    <phoneticPr fontId="2" type="noConversion"/>
  </si>
  <si>
    <t>大四下学期总绩点</t>
    <phoneticPr fontId="2" type="noConversion"/>
  </si>
  <si>
    <t>需要求的东西：</t>
    <phoneticPr fontId="2" type="noConversion"/>
  </si>
  <si>
    <t>转化为默认的绩点是：</t>
    <phoneticPr fontId="2" type="noConversion"/>
  </si>
  <si>
    <t>我在大二上一共有8门课</t>
  </si>
  <si>
    <t>大二学期一共有19门课</t>
    <phoneticPr fontId="2" type="noConversion"/>
  </si>
  <si>
    <t>总的所获学分1</t>
    <phoneticPr fontId="2" type="noConversion"/>
  </si>
  <si>
    <t>老樊的总所获学分1</t>
    <phoneticPr fontId="2" type="noConversion"/>
  </si>
  <si>
    <t>总获学分2</t>
    <phoneticPr fontId="2" type="noConversion"/>
  </si>
  <si>
    <t>老樊的总获学分2</t>
    <phoneticPr fontId="2" type="noConversion"/>
  </si>
  <si>
    <t>OK，这说明117+2的想法是对的</t>
    <phoneticPr fontId="2" type="noConversion"/>
  </si>
  <si>
    <t>平均分</t>
    <phoneticPr fontId="2" type="noConversion"/>
  </si>
  <si>
    <t>平均成绩</t>
    <phoneticPr fontId="2" type="noConversion"/>
  </si>
  <si>
    <t>平均成绩(分上下学期)</t>
    <phoneticPr fontId="2" type="noConversion"/>
  </si>
  <si>
    <t>大一上学期平均成绩</t>
    <phoneticPr fontId="2" type="noConversion"/>
  </si>
  <si>
    <t>大一下学期平均成绩</t>
    <phoneticPr fontId="2" type="noConversion"/>
  </si>
  <si>
    <t>大二上学期平均成绩</t>
    <phoneticPr fontId="2" type="noConversion"/>
  </si>
  <si>
    <t>大二下学期平均成绩</t>
    <phoneticPr fontId="2" type="noConversion"/>
  </si>
  <si>
    <t>大三上学期平均成绩</t>
    <phoneticPr fontId="2" type="noConversion"/>
  </si>
  <si>
    <t>大三下学期平均成绩</t>
    <phoneticPr fontId="2" type="noConversion"/>
  </si>
  <si>
    <t>大四上学期平均成绩</t>
    <phoneticPr fontId="2" type="noConversion"/>
  </si>
  <si>
    <t>大四下学期平均成绩</t>
    <phoneticPr fontId="2" type="noConversion"/>
  </si>
  <si>
    <t>学期的成绩*学分之和(不是绩点*学分之和)</t>
    <phoneticPr fontId="2" type="noConversion"/>
  </si>
  <si>
    <t>累计获得的绩点的分子</t>
    <phoneticPr fontId="2" type="noConversion"/>
  </si>
  <si>
    <t>累计获得的成绩*学分</t>
  </si>
  <si>
    <t>累计获得的成绩*学分</t>
    <phoneticPr fontId="2" type="noConversion"/>
  </si>
  <si>
    <t>大三上一共9门课</t>
    <phoneticPr fontId="2" type="noConversion"/>
  </si>
  <si>
    <t xml:space="preserve">固体物理 </t>
    <phoneticPr fontId="2" type="noConversion"/>
  </si>
  <si>
    <t xml:space="preserve">Linux平台下科学工具的开发与应用 </t>
    <phoneticPr fontId="2" type="noConversion"/>
  </si>
  <si>
    <t>信息光学基础</t>
    <phoneticPr fontId="2" type="noConversion"/>
  </si>
  <si>
    <t>激光物理</t>
    <phoneticPr fontId="2" type="noConversion"/>
  </si>
  <si>
    <t xml:space="preserve">半导体物理 </t>
    <phoneticPr fontId="2" type="noConversion"/>
  </si>
  <si>
    <t>毛泽东思想和中国特色社会主义理论体系概论</t>
    <phoneticPr fontId="2" type="noConversion"/>
  </si>
  <si>
    <t>生产实习</t>
    <phoneticPr fontId="2" type="noConversion"/>
  </si>
  <si>
    <t>近代物理实验</t>
    <phoneticPr fontId="2" type="noConversion"/>
  </si>
  <si>
    <t>大三下一共8门课</t>
    <phoneticPr fontId="2" type="noConversion"/>
  </si>
  <si>
    <t>大三下学期各科绩点*学分之和</t>
    <phoneticPr fontId="2" type="noConversion"/>
  </si>
  <si>
    <t>大三下后的各科成绩</t>
    <phoneticPr fontId="2" type="noConversion"/>
  </si>
  <si>
    <t>大三下学期的各科学分</t>
    <phoneticPr fontId="2" type="noConversion"/>
  </si>
  <si>
    <t>大三下学期的各科成绩转换为绩点</t>
    <phoneticPr fontId="2" type="noConversion"/>
  </si>
  <si>
    <t>评大三学年的奖学金</t>
    <phoneticPr fontId="2" type="noConversion"/>
  </si>
  <si>
    <t>绩点</t>
    <phoneticPr fontId="2" type="noConversion"/>
  </si>
  <si>
    <t>平均成绩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</si>
</sst>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0"/>
      <color theme="8" tint="-0.249977111117893"/>
      <name val="等线"/>
      <family val="3"/>
      <charset val="134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7030A0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1"/>
      <color theme="7" tint="-0.249977111117893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10" fillId="0" borderId="0" xfId="0" applyFont="1"/>
    <xf numFmtId="0" fontId="12" fillId="2" borderId="0" xfId="0" applyFont="1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14" fillId="0" borderId="3" xfId="0" applyFont="1" applyBorder="1"/>
    <xf numFmtId="0" fontId="0" fillId="0" borderId="4" xfId="0" applyBorder="1"/>
    <xf numFmtId="0" fontId="15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7" xfId="0" applyBorder="1"/>
    <xf numFmtId="49" fontId="7" fillId="0" borderId="0" xfId="0" applyNumberFormat="1" applyFont="1" applyBorder="1" applyAlignment="1">
      <alignment horizontal="center"/>
    </xf>
    <xf numFmtId="0" fontId="17" fillId="0" borderId="6" xfId="0" applyFont="1" applyBorder="1"/>
    <xf numFmtId="0" fontId="16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176" fontId="0" fillId="0" borderId="0" xfId="0" applyNumberFormat="1" applyBorder="1" applyAlignment="1">
      <alignment horizontal="center"/>
    </xf>
    <xf numFmtId="0" fontId="16" fillId="0" borderId="6" xfId="0" applyFont="1" applyBorder="1"/>
    <xf numFmtId="0" fontId="16" fillId="0" borderId="0" xfId="0" applyFont="1" applyBorder="1"/>
    <xf numFmtId="0" fontId="5" fillId="0" borderId="7" xfId="0" applyFont="1" applyBorder="1" applyAlignment="1">
      <alignment horizontal="center"/>
    </xf>
    <xf numFmtId="0" fontId="4" fillId="0" borderId="7" xfId="0" applyFont="1" applyBorder="1"/>
    <xf numFmtId="0" fontId="18" fillId="4" borderId="0" xfId="0" applyFont="1" applyFill="1" applyBorder="1" applyAlignment="1">
      <alignment horizontal="center"/>
    </xf>
    <xf numFmtId="0" fontId="0" fillId="4" borderId="0" xfId="0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4" fillId="0" borderId="15" xfId="0" applyNumberFormat="1" applyFont="1" applyBorder="1" applyAlignment="1">
      <alignment horizontal="center"/>
    </xf>
    <xf numFmtId="0" fontId="8" fillId="0" borderId="14" xfId="0" applyFont="1" applyBorder="1"/>
    <xf numFmtId="0" fontId="8" fillId="0" borderId="0" xfId="0" applyFont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7" fillId="0" borderId="14" xfId="0" applyFont="1" applyBorder="1"/>
    <xf numFmtId="0" fontId="6" fillId="0" borderId="0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49" fontId="4" fillId="0" borderId="19" xfId="0" applyNumberFormat="1" applyFont="1" applyBorder="1" applyAlignment="1">
      <alignment horizontal="center"/>
    </xf>
    <xf numFmtId="49" fontId="4" fillId="0" borderId="20" xfId="0" applyNumberFormat="1" applyFont="1" applyBorder="1" applyAlignment="1">
      <alignment horizontal="center"/>
    </xf>
    <xf numFmtId="0" fontId="0" fillId="0" borderId="21" xfId="0" applyBorder="1"/>
    <xf numFmtId="49" fontId="11" fillId="2" borderId="11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vertical="center"/>
    </xf>
    <xf numFmtId="0" fontId="12" fillId="2" borderId="12" xfId="0" applyFont="1" applyFill="1" applyBorder="1" applyAlignment="1">
      <alignment wrapText="1"/>
    </xf>
    <xf numFmtId="0" fontId="12" fillId="2" borderId="12" xfId="0" applyFont="1" applyFill="1" applyBorder="1"/>
    <xf numFmtId="0" fontId="0" fillId="2" borderId="12" xfId="0" applyFill="1" applyBorder="1"/>
    <xf numFmtId="49" fontId="5" fillId="2" borderId="19" xfId="0" applyNumberFormat="1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4" borderId="0" xfId="0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left" vertical="center"/>
    </xf>
    <xf numFmtId="0" fontId="7" fillId="0" borderId="16" xfId="0" applyFont="1" applyBorder="1"/>
    <xf numFmtId="49" fontId="6" fillId="0" borderId="17" xfId="0" applyNumberFormat="1" applyFont="1" applyBorder="1"/>
    <xf numFmtId="49" fontId="0" fillId="0" borderId="17" xfId="0" applyNumberFormat="1" applyBorder="1" applyAlignment="1">
      <alignment horizontal="center"/>
    </xf>
    <xf numFmtId="0" fontId="5" fillId="0" borderId="22" xfId="0" applyFont="1" applyBorder="1" applyAlignment="1">
      <alignment horizontal="center"/>
    </xf>
    <xf numFmtId="49" fontId="5" fillId="2" borderId="23" xfId="0" applyNumberFormat="1" applyFont="1" applyFill="1" applyBorder="1" applyAlignment="1">
      <alignment horizontal="center"/>
    </xf>
    <xf numFmtId="0" fontId="12" fillId="2" borderId="13" xfId="0" applyFont="1" applyFill="1" applyBorder="1"/>
    <xf numFmtId="0" fontId="13" fillId="0" borderId="0" xfId="0" applyFont="1" applyBorder="1"/>
    <xf numFmtId="0" fontId="13" fillId="0" borderId="21" xfId="0" applyFont="1" applyBorder="1" applyAlignment="1">
      <alignment horizontal="center"/>
    </xf>
    <xf numFmtId="0" fontId="7" fillId="0" borderId="0" xfId="0" applyFont="1" applyBorder="1"/>
    <xf numFmtId="49" fontId="7" fillId="0" borderId="21" xfId="0" applyNumberFormat="1" applyFont="1" applyBorder="1" applyAlignment="1">
      <alignment horizontal="right"/>
    </xf>
    <xf numFmtId="0" fontId="5" fillId="0" borderId="24" xfId="0" applyFont="1" applyBorder="1" applyAlignment="1">
      <alignment horizontal="center"/>
    </xf>
    <xf numFmtId="0" fontId="0" fillId="5" borderId="11" xfId="0" applyFill="1" applyBorder="1"/>
    <xf numFmtId="49" fontId="4" fillId="0" borderId="25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8" fillId="0" borderId="17" xfId="0" applyFont="1" applyBorder="1" applyAlignment="1">
      <alignment horizontal="right"/>
    </xf>
    <xf numFmtId="0" fontId="5" fillId="0" borderId="17" xfId="0" applyFont="1" applyBorder="1"/>
    <xf numFmtId="0" fontId="7" fillId="0" borderId="17" xfId="0" applyFont="1" applyBorder="1"/>
    <xf numFmtId="0" fontId="0" fillId="0" borderId="18" xfId="0" applyBorder="1" applyAlignment="1">
      <alignment horizontal="center"/>
    </xf>
    <xf numFmtId="0" fontId="9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7" xfId="0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49" fontId="7" fillId="0" borderId="0" xfId="0" applyNumberFormat="1" applyFont="1" applyBorder="1" applyAlignment="1">
      <alignment horizontal="right"/>
    </xf>
    <xf numFmtId="176" fontId="0" fillId="0" borderId="2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5"/>
  <sheetViews>
    <sheetView tabSelected="1" topLeftCell="A67" workbookViewId="0">
      <selection activeCell="N86" sqref="N86"/>
    </sheetView>
  </sheetViews>
  <sheetFormatPr defaultRowHeight="14.25" x14ac:dyDescent="0.2"/>
  <cols>
    <col min="3" max="3" width="10" bestFit="1" customWidth="1"/>
  </cols>
  <sheetData>
    <row r="1" spans="1:24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0</v>
      </c>
      <c r="K1" s="1" t="s">
        <v>1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140</v>
      </c>
      <c r="V1" s="2" t="s">
        <v>141</v>
      </c>
      <c r="W1" s="2" t="s">
        <v>142</v>
      </c>
      <c r="X1" t="s">
        <v>151</v>
      </c>
    </row>
    <row r="2" spans="1:24" x14ac:dyDescent="0.2">
      <c r="A2" s="3" t="s">
        <v>18</v>
      </c>
      <c r="B2" s="3" t="s">
        <v>19</v>
      </c>
      <c r="C2" s="3" t="s">
        <v>20</v>
      </c>
      <c r="D2" s="3" t="s">
        <v>21</v>
      </c>
      <c r="E2" s="3" t="s">
        <v>20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18</v>
      </c>
      <c r="K2" s="3" t="s">
        <v>19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25</v>
      </c>
      <c r="R2" s="5"/>
      <c r="S2" s="4" t="s">
        <v>31</v>
      </c>
      <c r="T2" s="4" t="s">
        <v>32</v>
      </c>
    </row>
    <row r="3" spans="1:24" x14ac:dyDescent="0.2">
      <c r="A3" s="3" t="s">
        <v>33</v>
      </c>
      <c r="B3" s="3" t="s">
        <v>34</v>
      </c>
      <c r="C3" s="3" t="s">
        <v>35</v>
      </c>
      <c r="D3" s="3" t="s">
        <v>35</v>
      </c>
      <c r="E3" s="3" t="s">
        <v>35</v>
      </c>
      <c r="F3" s="3" t="s">
        <v>20</v>
      </c>
      <c r="G3" s="3" t="s">
        <v>23</v>
      </c>
      <c r="H3" s="3" t="s">
        <v>36</v>
      </c>
      <c r="I3" s="3" t="s">
        <v>37</v>
      </c>
      <c r="J3" s="3" t="s">
        <v>33</v>
      </c>
      <c r="K3" s="3" t="s">
        <v>34</v>
      </c>
      <c r="L3" s="4" t="s">
        <v>20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20</v>
      </c>
      <c r="R3" s="5"/>
      <c r="S3" s="4" t="s">
        <v>25</v>
      </c>
      <c r="T3" s="4" t="s">
        <v>32</v>
      </c>
    </row>
    <row r="4" spans="1:24" x14ac:dyDescent="0.2">
      <c r="A4" s="3" t="s">
        <v>42</v>
      </c>
      <c r="B4" s="3" t="s">
        <v>43</v>
      </c>
      <c r="C4" s="3" t="s">
        <v>44</v>
      </c>
      <c r="D4" s="3" t="s">
        <v>45</v>
      </c>
      <c r="E4" s="3" t="s">
        <v>46</v>
      </c>
      <c r="F4" s="3" t="s">
        <v>46</v>
      </c>
      <c r="G4" s="3" t="s">
        <v>30</v>
      </c>
      <c r="H4" s="3" t="s">
        <v>47</v>
      </c>
      <c r="I4" s="3" t="s">
        <v>31</v>
      </c>
      <c r="J4" s="3" t="s">
        <v>42</v>
      </c>
      <c r="K4" s="3" t="s">
        <v>43</v>
      </c>
      <c r="L4" s="4" t="s">
        <v>40</v>
      </c>
      <c r="M4" s="4" t="s">
        <v>24</v>
      </c>
      <c r="N4" s="4" t="s">
        <v>24</v>
      </c>
      <c r="O4" s="4" t="s">
        <v>44</v>
      </c>
      <c r="P4" s="4" t="s">
        <v>41</v>
      </c>
      <c r="Q4" s="4" t="s">
        <v>31</v>
      </c>
      <c r="R4" s="5"/>
      <c r="S4" s="4" t="s">
        <v>25</v>
      </c>
      <c r="T4" s="4" t="s">
        <v>32</v>
      </c>
    </row>
    <row r="5" spans="1:24" x14ac:dyDescent="0.2">
      <c r="A5" s="3" t="s">
        <v>48</v>
      </c>
      <c r="B5" s="3" t="s">
        <v>49</v>
      </c>
      <c r="C5" s="3" t="s">
        <v>22</v>
      </c>
      <c r="D5" s="3" t="s">
        <v>50</v>
      </c>
      <c r="E5" s="3" t="s">
        <v>36</v>
      </c>
      <c r="F5" s="3" t="s">
        <v>22</v>
      </c>
      <c r="G5" s="3" t="s">
        <v>23</v>
      </c>
      <c r="H5" s="3" t="s">
        <v>22</v>
      </c>
      <c r="I5" s="3" t="s">
        <v>51</v>
      </c>
      <c r="J5" s="3" t="s">
        <v>48</v>
      </c>
      <c r="K5" s="3" t="s">
        <v>49</v>
      </c>
      <c r="L5" s="4" t="s">
        <v>21</v>
      </c>
      <c r="M5" s="4" t="s">
        <v>52</v>
      </c>
      <c r="N5" s="4" t="s">
        <v>20</v>
      </c>
      <c r="O5" s="4" t="s">
        <v>53</v>
      </c>
      <c r="P5" s="4" t="s">
        <v>23</v>
      </c>
      <c r="Q5" s="4" t="s">
        <v>51</v>
      </c>
      <c r="R5" s="5"/>
      <c r="S5" s="4" t="s">
        <v>52</v>
      </c>
      <c r="T5" s="4" t="s">
        <v>32</v>
      </c>
    </row>
    <row r="6" spans="1:24" x14ac:dyDescent="0.2">
      <c r="A6" s="3" t="s">
        <v>54</v>
      </c>
      <c r="B6" s="3" t="s">
        <v>55</v>
      </c>
      <c r="C6" s="3" t="s">
        <v>44</v>
      </c>
      <c r="D6" s="3" t="s">
        <v>52</v>
      </c>
      <c r="E6" s="3" t="s">
        <v>56</v>
      </c>
      <c r="F6" s="3" t="s">
        <v>57</v>
      </c>
      <c r="G6" s="3" t="s">
        <v>41</v>
      </c>
      <c r="H6" s="3" t="s">
        <v>36</v>
      </c>
      <c r="I6" s="3" t="s">
        <v>58</v>
      </c>
      <c r="J6" s="3" t="s">
        <v>54</v>
      </c>
      <c r="K6" s="3" t="s">
        <v>55</v>
      </c>
      <c r="L6" s="4" t="s">
        <v>59</v>
      </c>
      <c r="M6" s="4" t="s">
        <v>60</v>
      </c>
      <c r="N6" s="4" t="s">
        <v>26</v>
      </c>
      <c r="O6" s="4" t="s">
        <v>61</v>
      </c>
      <c r="P6" s="4" t="s">
        <v>41</v>
      </c>
      <c r="Q6" s="4" t="s">
        <v>26</v>
      </c>
      <c r="R6" s="4" t="s">
        <v>23</v>
      </c>
      <c r="S6" s="4" t="s">
        <v>50</v>
      </c>
      <c r="T6" s="4" t="s">
        <v>32</v>
      </c>
    </row>
    <row r="7" spans="1:24" x14ac:dyDescent="0.2">
      <c r="A7" s="3" t="s">
        <v>62</v>
      </c>
      <c r="B7" s="3" t="s">
        <v>63</v>
      </c>
      <c r="C7" s="3" t="s">
        <v>39</v>
      </c>
      <c r="D7" s="3" t="s">
        <v>27</v>
      </c>
      <c r="E7" s="3" t="s">
        <v>31</v>
      </c>
      <c r="F7" s="3" t="s">
        <v>20</v>
      </c>
      <c r="G7" s="3" t="s">
        <v>23</v>
      </c>
      <c r="H7" s="3" t="s">
        <v>58</v>
      </c>
      <c r="I7" s="3" t="s">
        <v>46</v>
      </c>
      <c r="J7" s="3" t="s">
        <v>62</v>
      </c>
      <c r="K7" s="3" t="s">
        <v>63</v>
      </c>
      <c r="L7" s="4" t="s">
        <v>31</v>
      </c>
      <c r="M7" s="4" t="s">
        <v>20</v>
      </c>
      <c r="N7" s="4" t="s">
        <v>53</v>
      </c>
      <c r="O7" s="4" t="s">
        <v>64</v>
      </c>
      <c r="P7" s="4" t="s">
        <v>30</v>
      </c>
      <c r="Q7" s="4" t="s">
        <v>26</v>
      </c>
      <c r="R7" s="4" t="s">
        <v>23</v>
      </c>
      <c r="S7" s="4" t="s">
        <v>53</v>
      </c>
      <c r="T7" s="4" t="s">
        <v>32</v>
      </c>
    </row>
    <row r="8" spans="1:24" x14ac:dyDescent="0.2">
      <c r="A8" s="3" t="s">
        <v>65</v>
      </c>
      <c r="B8" s="3" t="s">
        <v>66</v>
      </c>
      <c r="C8" s="3" t="s">
        <v>44</v>
      </c>
      <c r="D8" s="3" t="s">
        <v>50</v>
      </c>
      <c r="E8" s="3" t="s">
        <v>67</v>
      </c>
      <c r="F8" s="3" t="s">
        <v>20</v>
      </c>
      <c r="G8" s="3" t="s">
        <v>23</v>
      </c>
      <c r="H8" s="3" t="s">
        <v>22</v>
      </c>
      <c r="I8" s="3" t="s">
        <v>68</v>
      </c>
      <c r="J8" s="3" t="s">
        <v>65</v>
      </c>
      <c r="K8" s="3" t="s">
        <v>66</v>
      </c>
      <c r="L8" s="4" t="s">
        <v>44</v>
      </c>
      <c r="M8" s="4" t="s">
        <v>45</v>
      </c>
      <c r="N8" s="4" t="s">
        <v>46</v>
      </c>
      <c r="O8" s="4" t="s">
        <v>28</v>
      </c>
      <c r="P8" s="4" t="s">
        <v>41</v>
      </c>
      <c r="Q8" s="4" t="s">
        <v>38</v>
      </c>
      <c r="R8" s="4" t="s">
        <v>69</v>
      </c>
      <c r="S8" s="4" t="s">
        <v>59</v>
      </c>
      <c r="T8" s="4" t="s">
        <v>32</v>
      </c>
    </row>
    <row r="9" spans="1:24" x14ac:dyDescent="0.2">
      <c r="A9" s="3" t="s">
        <v>70</v>
      </c>
      <c r="B9" s="3" t="s">
        <v>71</v>
      </c>
      <c r="C9" s="3" t="s">
        <v>72</v>
      </c>
      <c r="D9" s="3" t="s">
        <v>52</v>
      </c>
      <c r="E9" s="3" t="s">
        <v>21</v>
      </c>
      <c r="F9" s="3" t="s">
        <v>29</v>
      </c>
      <c r="G9" s="3" t="s">
        <v>30</v>
      </c>
      <c r="H9" s="3" t="s">
        <v>25</v>
      </c>
      <c r="I9" s="3" t="s">
        <v>53</v>
      </c>
      <c r="J9" s="3" t="s">
        <v>70</v>
      </c>
      <c r="K9" s="3" t="s">
        <v>71</v>
      </c>
      <c r="L9" s="4" t="s">
        <v>21</v>
      </c>
      <c r="M9" s="4" t="s">
        <v>51</v>
      </c>
      <c r="N9" s="4" t="s">
        <v>73</v>
      </c>
      <c r="O9" s="4" t="s">
        <v>73</v>
      </c>
      <c r="P9" s="4" t="s">
        <v>69</v>
      </c>
      <c r="Q9" s="4" t="s">
        <v>21</v>
      </c>
      <c r="R9" s="4" t="s">
        <v>30</v>
      </c>
      <c r="S9" s="4" t="s">
        <v>27</v>
      </c>
      <c r="T9" s="4" t="s">
        <v>32</v>
      </c>
    </row>
    <row r="10" spans="1:24" x14ac:dyDescent="0.2">
      <c r="A10" s="3" t="s">
        <v>74</v>
      </c>
      <c r="B10" s="3" t="s">
        <v>75</v>
      </c>
      <c r="C10" s="3" t="s">
        <v>37</v>
      </c>
      <c r="D10" s="3" t="s">
        <v>28</v>
      </c>
      <c r="E10" s="3" t="s">
        <v>39</v>
      </c>
      <c r="F10" s="3" t="s">
        <v>27</v>
      </c>
      <c r="G10" s="3" t="s">
        <v>23</v>
      </c>
      <c r="H10" s="3" t="s">
        <v>36</v>
      </c>
      <c r="I10" s="3" t="s">
        <v>36</v>
      </c>
      <c r="J10" s="3" t="s">
        <v>74</v>
      </c>
      <c r="K10" s="3" t="s">
        <v>75</v>
      </c>
      <c r="L10" s="4" t="s">
        <v>40</v>
      </c>
      <c r="M10" s="4" t="s">
        <v>35</v>
      </c>
      <c r="N10" s="4" t="s">
        <v>46</v>
      </c>
      <c r="O10" s="4" t="s">
        <v>36</v>
      </c>
      <c r="P10" s="4" t="s">
        <v>23</v>
      </c>
      <c r="Q10" s="4" t="s">
        <v>52</v>
      </c>
      <c r="R10" s="4" t="s">
        <v>23</v>
      </c>
      <c r="S10" s="4" t="s">
        <v>38</v>
      </c>
      <c r="T10" s="4" t="s">
        <v>32</v>
      </c>
    </row>
    <row r="11" spans="1:24" x14ac:dyDescent="0.2">
      <c r="A11" s="3" t="s">
        <v>76</v>
      </c>
      <c r="B11" s="3" t="s">
        <v>77</v>
      </c>
      <c r="C11" s="3" t="s">
        <v>45</v>
      </c>
      <c r="D11" s="3" t="s">
        <v>78</v>
      </c>
      <c r="E11" s="3" t="s">
        <v>35</v>
      </c>
      <c r="F11" s="3" t="s">
        <v>67</v>
      </c>
      <c r="G11" s="3" t="s">
        <v>69</v>
      </c>
      <c r="H11" s="3" t="s">
        <v>50</v>
      </c>
      <c r="I11" s="3" t="s">
        <v>51</v>
      </c>
      <c r="J11" s="3" t="s">
        <v>76</v>
      </c>
      <c r="K11" s="3" t="s">
        <v>77</v>
      </c>
      <c r="L11" s="4" t="s">
        <v>44</v>
      </c>
      <c r="M11" s="4" t="s">
        <v>59</v>
      </c>
      <c r="N11" s="4" t="s">
        <v>40</v>
      </c>
      <c r="O11" s="4" t="s">
        <v>78</v>
      </c>
      <c r="P11" s="4" t="s">
        <v>23</v>
      </c>
      <c r="Q11" s="4" t="s">
        <v>79</v>
      </c>
      <c r="R11" s="4" t="s">
        <v>23</v>
      </c>
      <c r="S11" s="4" t="s">
        <v>38</v>
      </c>
      <c r="T11" s="4" t="s">
        <v>32</v>
      </c>
    </row>
    <row r="12" spans="1:24" x14ac:dyDescent="0.2">
      <c r="A12" s="3" t="s">
        <v>80</v>
      </c>
      <c r="B12" s="3" t="s">
        <v>81</v>
      </c>
      <c r="C12" s="3" t="s">
        <v>21</v>
      </c>
      <c r="D12" s="3" t="s">
        <v>31</v>
      </c>
      <c r="E12" s="3" t="s">
        <v>47</v>
      </c>
      <c r="F12" s="3" t="s">
        <v>47</v>
      </c>
      <c r="G12" s="3" t="s">
        <v>23</v>
      </c>
      <c r="H12" s="3" t="s">
        <v>26</v>
      </c>
      <c r="I12" s="3" t="s">
        <v>82</v>
      </c>
      <c r="J12" s="3" t="s">
        <v>80</v>
      </c>
      <c r="K12" s="3" t="s">
        <v>81</v>
      </c>
      <c r="L12" s="4" t="s">
        <v>79</v>
      </c>
      <c r="M12" s="4" t="s">
        <v>45</v>
      </c>
      <c r="N12" s="4" t="s">
        <v>38</v>
      </c>
      <c r="O12" s="4" t="s">
        <v>61</v>
      </c>
      <c r="P12" s="4" t="s">
        <v>23</v>
      </c>
      <c r="Q12" s="4" t="s">
        <v>68</v>
      </c>
      <c r="R12" s="4" t="s">
        <v>23</v>
      </c>
      <c r="S12" s="4" t="s">
        <v>53</v>
      </c>
      <c r="T12" s="4" t="s">
        <v>32</v>
      </c>
    </row>
    <row r="13" spans="1:24" x14ac:dyDescent="0.2">
      <c r="A13" s="3" t="s">
        <v>83</v>
      </c>
      <c r="B13" s="3" t="s">
        <v>84</v>
      </c>
      <c r="C13" s="3" t="s">
        <v>44</v>
      </c>
      <c r="D13" s="3" t="s">
        <v>47</v>
      </c>
      <c r="E13" s="3" t="s">
        <v>21</v>
      </c>
      <c r="F13" s="3" t="s">
        <v>22</v>
      </c>
      <c r="G13" s="3" t="s">
        <v>30</v>
      </c>
      <c r="H13" s="3" t="s">
        <v>39</v>
      </c>
      <c r="I13" s="3" t="s">
        <v>27</v>
      </c>
      <c r="J13" s="3" t="s">
        <v>83</v>
      </c>
      <c r="K13" s="3" t="s">
        <v>84</v>
      </c>
      <c r="L13" s="4" t="s">
        <v>22</v>
      </c>
      <c r="M13" s="4" t="s">
        <v>28</v>
      </c>
      <c r="N13" s="4" t="s">
        <v>39</v>
      </c>
      <c r="O13" s="4" t="s">
        <v>56</v>
      </c>
      <c r="P13" s="4" t="s">
        <v>23</v>
      </c>
      <c r="Q13" s="4" t="s">
        <v>52</v>
      </c>
      <c r="R13" s="4" t="s">
        <v>23</v>
      </c>
      <c r="S13" s="4" t="s">
        <v>38</v>
      </c>
      <c r="T13" s="4" t="s">
        <v>32</v>
      </c>
    </row>
    <row r="14" spans="1:24" x14ac:dyDescent="0.2">
      <c r="A14" s="3" t="s">
        <v>85</v>
      </c>
      <c r="B14" s="3" t="s">
        <v>86</v>
      </c>
      <c r="C14" s="3" t="s">
        <v>26</v>
      </c>
      <c r="D14" s="3" t="s">
        <v>45</v>
      </c>
      <c r="E14" s="3" t="s">
        <v>40</v>
      </c>
      <c r="F14" s="3" t="s">
        <v>58</v>
      </c>
      <c r="G14" s="3" t="s">
        <v>41</v>
      </c>
      <c r="H14" s="3" t="s">
        <v>58</v>
      </c>
      <c r="I14" s="3" t="s">
        <v>79</v>
      </c>
      <c r="J14" s="3" t="s">
        <v>85</v>
      </c>
      <c r="K14" s="3" t="s">
        <v>86</v>
      </c>
      <c r="L14" s="4" t="s">
        <v>40</v>
      </c>
      <c r="M14" s="4" t="s">
        <v>39</v>
      </c>
      <c r="N14" s="4" t="s">
        <v>67</v>
      </c>
      <c r="O14" s="4" t="s">
        <v>50</v>
      </c>
      <c r="P14" s="4" t="s">
        <v>41</v>
      </c>
      <c r="Q14" s="4" t="s">
        <v>79</v>
      </c>
      <c r="R14" s="5"/>
      <c r="S14" s="4" t="s">
        <v>50</v>
      </c>
      <c r="T14" s="4" t="s">
        <v>32</v>
      </c>
    </row>
    <row r="15" spans="1:24" x14ac:dyDescent="0.2">
      <c r="A15" s="3" t="s">
        <v>87</v>
      </c>
      <c r="B15" s="3" t="s">
        <v>88</v>
      </c>
      <c r="C15" s="3" t="s">
        <v>35</v>
      </c>
      <c r="D15" s="3" t="s">
        <v>39</v>
      </c>
      <c r="E15" s="3" t="s">
        <v>67</v>
      </c>
      <c r="F15" s="3" t="s">
        <v>26</v>
      </c>
      <c r="G15" s="3" t="s">
        <v>30</v>
      </c>
      <c r="H15" s="3" t="s">
        <v>60</v>
      </c>
      <c r="I15" s="3" t="s">
        <v>27</v>
      </c>
      <c r="J15" s="3" t="s">
        <v>87</v>
      </c>
      <c r="K15" s="3" t="s">
        <v>88</v>
      </c>
      <c r="L15" s="4" t="s">
        <v>59</v>
      </c>
      <c r="M15" s="4" t="s">
        <v>57</v>
      </c>
      <c r="N15" s="4" t="s">
        <v>25</v>
      </c>
      <c r="O15" s="4" t="s">
        <v>56</v>
      </c>
      <c r="P15" s="4" t="s">
        <v>23</v>
      </c>
      <c r="Q15" s="4" t="s">
        <v>61</v>
      </c>
      <c r="R15" s="4" t="s">
        <v>23</v>
      </c>
      <c r="S15" s="4" t="s">
        <v>46</v>
      </c>
      <c r="T15" s="4" t="s">
        <v>32</v>
      </c>
    </row>
    <row r="16" spans="1:24" x14ac:dyDescent="0.2">
      <c r="A16" s="3" t="s">
        <v>89</v>
      </c>
      <c r="B16" s="3" t="s">
        <v>90</v>
      </c>
      <c r="C16" s="3" t="s">
        <v>36</v>
      </c>
      <c r="D16" s="3" t="s">
        <v>46</v>
      </c>
      <c r="E16" s="3" t="s">
        <v>56</v>
      </c>
      <c r="F16" s="3" t="s">
        <v>36</v>
      </c>
      <c r="G16" s="3" t="s">
        <v>23</v>
      </c>
      <c r="H16" s="3" t="s">
        <v>22</v>
      </c>
      <c r="I16" s="3" t="s">
        <v>56</v>
      </c>
      <c r="J16" s="3" t="s">
        <v>89</v>
      </c>
      <c r="K16" s="3" t="s">
        <v>90</v>
      </c>
      <c r="L16" s="4" t="s">
        <v>46</v>
      </c>
      <c r="M16" s="4" t="s">
        <v>91</v>
      </c>
      <c r="N16" s="4" t="s">
        <v>26</v>
      </c>
      <c r="O16" s="4" t="s">
        <v>31</v>
      </c>
      <c r="P16" s="4" t="s">
        <v>23</v>
      </c>
      <c r="Q16" s="4" t="s">
        <v>56</v>
      </c>
      <c r="R16" s="5"/>
      <c r="S16" s="4" t="s">
        <v>36</v>
      </c>
      <c r="T16" s="4" t="s">
        <v>32</v>
      </c>
    </row>
    <row r="17" spans="1:28" x14ac:dyDescent="0.2">
      <c r="A17" s="3" t="s">
        <v>92</v>
      </c>
      <c r="B17" s="3" t="s">
        <v>93</v>
      </c>
      <c r="C17" s="3" t="s">
        <v>73</v>
      </c>
      <c r="D17" s="3" t="s">
        <v>39</v>
      </c>
      <c r="E17" s="3" t="s">
        <v>31</v>
      </c>
      <c r="F17" s="3" t="s">
        <v>28</v>
      </c>
      <c r="G17" s="3" t="s">
        <v>23</v>
      </c>
      <c r="H17" s="3" t="s">
        <v>28</v>
      </c>
      <c r="I17" s="3" t="s">
        <v>51</v>
      </c>
      <c r="J17" s="3" t="s">
        <v>92</v>
      </c>
      <c r="K17" s="3" t="s">
        <v>93</v>
      </c>
      <c r="L17" s="4" t="s">
        <v>29</v>
      </c>
      <c r="M17" s="4" t="s">
        <v>52</v>
      </c>
      <c r="N17" s="4" t="s">
        <v>47</v>
      </c>
      <c r="O17" s="4" t="s">
        <v>73</v>
      </c>
      <c r="P17" s="4" t="s">
        <v>23</v>
      </c>
      <c r="Q17" s="4" t="s">
        <v>51</v>
      </c>
      <c r="R17" s="4" t="s">
        <v>69</v>
      </c>
      <c r="S17" s="4" t="s">
        <v>61</v>
      </c>
      <c r="T17" s="4" t="s">
        <v>32</v>
      </c>
    </row>
    <row r="18" spans="1:28" x14ac:dyDescent="0.2">
      <c r="A18" s="3" t="s">
        <v>94</v>
      </c>
      <c r="B18" s="3" t="s">
        <v>95</v>
      </c>
      <c r="C18" s="3" t="s">
        <v>60</v>
      </c>
      <c r="D18" s="3" t="s">
        <v>56</v>
      </c>
      <c r="E18" s="3" t="s">
        <v>21</v>
      </c>
      <c r="F18" s="3" t="s">
        <v>38</v>
      </c>
      <c r="G18" s="3" t="s">
        <v>30</v>
      </c>
      <c r="H18" s="3" t="s">
        <v>53</v>
      </c>
      <c r="I18" s="3" t="s">
        <v>82</v>
      </c>
      <c r="J18" s="3" t="s">
        <v>94</v>
      </c>
      <c r="K18" s="3" t="s">
        <v>95</v>
      </c>
      <c r="L18" s="4" t="s">
        <v>36</v>
      </c>
      <c r="M18" s="4" t="s">
        <v>68</v>
      </c>
      <c r="N18" s="4" t="s">
        <v>37</v>
      </c>
      <c r="O18" s="4" t="s">
        <v>37</v>
      </c>
      <c r="P18" s="4" t="s">
        <v>30</v>
      </c>
      <c r="Q18" s="4" t="s">
        <v>21</v>
      </c>
      <c r="R18" s="5"/>
      <c r="S18" s="4" t="s">
        <v>53</v>
      </c>
      <c r="T18" s="4" t="s">
        <v>32</v>
      </c>
    </row>
    <row r="19" spans="1:28" x14ac:dyDescent="0.2">
      <c r="A19" s="3" t="s">
        <v>96</v>
      </c>
      <c r="B19" s="3" t="s">
        <v>97</v>
      </c>
      <c r="C19" s="3" t="s">
        <v>82</v>
      </c>
      <c r="D19" s="3" t="s">
        <v>27</v>
      </c>
      <c r="E19" s="3" t="s">
        <v>45</v>
      </c>
      <c r="F19" s="3" t="s">
        <v>26</v>
      </c>
      <c r="G19" s="3" t="s">
        <v>30</v>
      </c>
      <c r="H19" s="3" t="s">
        <v>22</v>
      </c>
      <c r="I19" s="3" t="s">
        <v>25</v>
      </c>
      <c r="J19" s="3" t="s">
        <v>96</v>
      </c>
      <c r="K19" s="3" t="s">
        <v>97</v>
      </c>
      <c r="L19" s="4" t="s">
        <v>31</v>
      </c>
      <c r="M19" s="4" t="s">
        <v>27</v>
      </c>
      <c r="N19" s="4" t="s">
        <v>91</v>
      </c>
      <c r="O19" s="4" t="s">
        <v>79</v>
      </c>
      <c r="P19" s="4" t="s">
        <v>23</v>
      </c>
      <c r="Q19" s="4" t="s">
        <v>61</v>
      </c>
      <c r="R19" s="4" t="s">
        <v>30</v>
      </c>
      <c r="S19" s="4" t="s">
        <v>26</v>
      </c>
      <c r="T19" s="4" t="s">
        <v>32</v>
      </c>
    </row>
    <row r="20" spans="1:28" s="7" customFormat="1" ht="15.75" customHeight="1" thickBot="1" x14ac:dyDescent="0.25">
      <c r="A20" s="57" t="s">
        <v>98</v>
      </c>
      <c r="B20" s="58" t="s">
        <v>99</v>
      </c>
      <c r="C20" s="58" t="s">
        <v>64</v>
      </c>
      <c r="D20" s="58" t="s">
        <v>51</v>
      </c>
      <c r="E20" s="58" t="s">
        <v>100</v>
      </c>
      <c r="F20" s="58" t="s">
        <v>29</v>
      </c>
      <c r="G20" s="58" t="s">
        <v>30</v>
      </c>
      <c r="H20" s="58" t="s">
        <v>47</v>
      </c>
      <c r="I20" s="58" t="s">
        <v>51</v>
      </c>
      <c r="J20" s="58" t="s">
        <v>98</v>
      </c>
      <c r="K20" s="58" t="s">
        <v>99</v>
      </c>
      <c r="L20" s="59" t="s">
        <v>29</v>
      </c>
      <c r="M20" s="59" t="s">
        <v>31</v>
      </c>
      <c r="N20" s="59" t="s">
        <v>37</v>
      </c>
      <c r="O20" s="59" t="s">
        <v>100</v>
      </c>
      <c r="P20" s="59" t="s">
        <v>30</v>
      </c>
      <c r="Q20" s="59" t="s">
        <v>37</v>
      </c>
      <c r="R20" s="60"/>
      <c r="S20" s="59" t="s">
        <v>36</v>
      </c>
      <c r="T20" s="59" t="s">
        <v>32</v>
      </c>
      <c r="U20" s="61" t="s">
        <v>127</v>
      </c>
      <c r="V20" s="61" t="s">
        <v>143</v>
      </c>
      <c r="W20" s="61" t="s">
        <v>143</v>
      </c>
      <c r="X20" s="62" t="s">
        <v>127</v>
      </c>
      <c r="Y20" s="63" t="s">
        <v>134</v>
      </c>
      <c r="Z20" s="83"/>
      <c r="AA20" s="61"/>
      <c r="AB20" s="84"/>
    </row>
    <row r="21" spans="1:28" x14ac:dyDescent="0.2">
      <c r="A21" s="64" t="s">
        <v>101</v>
      </c>
      <c r="B21" s="65" t="s">
        <v>102</v>
      </c>
      <c r="C21" s="65" t="s">
        <v>47</v>
      </c>
      <c r="D21" s="65" t="s">
        <v>79</v>
      </c>
      <c r="E21" s="65" t="s">
        <v>36</v>
      </c>
      <c r="F21" s="65" t="s">
        <v>56</v>
      </c>
      <c r="G21" s="65" t="s">
        <v>30</v>
      </c>
      <c r="H21" s="65" t="s">
        <v>25</v>
      </c>
      <c r="I21" s="65" t="s">
        <v>52</v>
      </c>
      <c r="J21" s="65" t="s">
        <v>101</v>
      </c>
      <c r="K21" s="65" t="s">
        <v>102</v>
      </c>
      <c r="L21" s="66" t="s">
        <v>68</v>
      </c>
      <c r="M21" s="66" t="s">
        <v>68</v>
      </c>
      <c r="N21" s="66" t="s">
        <v>27</v>
      </c>
      <c r="O21" s="66" t="s">
        <v>25</v>
      </c>
      <c r="P21" s="66" t="s">
        <v>23</v>
      </c>
      <c r="Q21" s="66" t="s">
        <v>47</v>
      </c>
      <c r="R21" s="66" t="s">
        <v>69</v>
      </c>
      <c r="S21" s="66" t="s">
        <v>53</v>
      </c>
      <c r="T21" s="66" t="s">
        <v>32</v>
      </c>
      <c r="U21" s="18"/>
      <c r="V21" s="18"/>
      <c r="W21" s="18"/>
      <c r="X21" s="18"/>
      <c r="Y21" s="18"/>
      <c r="Z21" s="18"/>
      <c r="AA21" s="18"/>
      <c r="AB21" s="56"/>
    </row>
    <row r="22" spans="1:28" x14ac:dyDescent="0.2">
      <c r="A22" s="64" t="s">
        <v>103</v>
      </c>
      <c r="B22" s="65" t="s">
        <v>104</v>
      </c>
      <c r="C22" s="65" t="s">
        <v>24</v>
      </c>
      <c r="D22" s="65" t="s">
        <v>56</v>
      </c>
      <c r="E22" s="65" t="s">
        <v>56</v>
      </c>
      <c r="F22" s="65" t="s">
        <v>31</v>
      </c>
      <c r="G22" s="65" t="s">
        <v>41</v>
      </c>
      <c r="H22" s="65" t="s">
        <v>53</v>
      </c>
      <c r="I22" s="65" t="s">
        <v>91</v>
      </c>
      <c r="J22" s="65" t="s">
        <v>103</v>
      </c>
      <c r="K22" s="65" t="s">
        <v>104</v>
      </c>
      <c r="L22" s="67"/>
      <c r="M22" s="68"/>
      <c r="N22" s="68"/>
      <c r="O22" s="68"/>
      <c r="P22" s="68"/>
      <c r="Q22" s="68"/>
      <c r="R22" s="68"/>
      <c r="S22" s="68"/>
      <c r="T22" s="68"/>
      <c r="U22" s="18"/>
      <c r="V22" s="18"/>
      <c r="W22" s="18"/>
      <c r="X22" s="18"/>
      <c r="Y22" s="18"/>
      <c r="Z22" s="18"/>
      <c r="AA22" s="18"/>
      <c r="AB22" s="56"/>
    </row>
    <row r="23" spans="1:28" x14ac:dyDescent="0.2">
      <c r="A23" s="64" t="s">
        <v>105</v>
      </c>
      <c r="B23" s="65" t="s">
        <v>106</v>
      </c>
      <c r="C23" s="65" t="s">
        <v>35</v>
      </c>
      <c r="D23" s="65" t="s">
        <v>107</v>
      </c>
      <c r="E23" s="65" t="s">
        <v>108</v>
      </c>
      <c r="F23" s="65" t="s">
        <v>24</v>
      </c>
      <c r="G23" s="65" t="s">
        <v>69</v>
      </c>
      <c r="H23" s="65" t="s">
        <v>57</v>
      </c>
      <c r="I23" s="65" t="s">
        <v>45</v>
      </c>
      <c r="J23" s="65" t="s">
        <v>105</v>
      </c>
      <c r="K23" s="65" t="s">
        <v>106</v>
      </c>
      <c r="L23" s="66" t="s">
        <v>21</v>
      </c>
      <c r="M23" s="66" t="s">
        <v>68</v>
      </c>
      <c r="N23" s="66" t="s">
        <v>47</v>
      </c>
      <c r="O23" s="66" t="s">
        <v>47</v>
      </c>
      <c r="P23" s="66" t="s">
        <v>23</v>
      </c>
      <c r="Q23" s="66" t="s">
        <v>22</v>
      </c>
      <c r="R23" s="68"/>
      <c r="S23" s="66" t="s">
        <v>26</v>
      </c>
      <c r="T23" s="66" t="s">
        <v>32</v>
      </c>
      <c r="U23" s="18"/>
      <c r="V23" s="18"/>
      <c r="W23" s="18"/>
      <c r="X23" s="18"/>
      <c r="Y23" s="18"/>
      <c r="Z23" s="18"/>
      <c r="AA23" s="18"/>
      <c r="AB23" s="56"/>
    </row>
    <row r="24" spans="1:28" x14ac:dyDescent="0.2">
      <c r="A24" s="64" t="s">
        <v>109</v>
      </c>
      <c r="B24" s="65" t="s">
        <v>110</v>
      </c>
      <c r="C24" s="65" t="s">
        <v>67</v>
      </c>
      <c r="D24" s="67"/>
      <c r="E24" s="65" t="s">
        <v>59</v>
      </c>
      <c r="F24" s="65" t="s">
        <v>22</v>
      </c>
      <c r="G24" s="65" t="s">
        <v>23</v>
      </c>
      <c r="H24" s="65" t="s">
        <v>67</v>
      </c>
      <c r="I24" s="65" t="s">
        <v>45</v>
      </c>
      <c r="J24" s="65" t="s">
        <v>109</v>
      </c>
      <c r="K24" s="65" t="s">
        <v>110</v>
      </c>
      <c r="L24" s="66" t="s">
        <v>59</v>
      </c>
      <c r="M24" s="66" t="s">
        <v>44</v>
      </c>
      <c r="N24" s="66" t="s">
        <v>111</v>
      </c>
      <c r="O24" s="66" t="s">
        <v>56</v>
      </c>
      <c r="P24" s="66" t="s">
        <v>30</v>
      </c>
      <c r="Q24" s="66" t="s">
        <v>24</v>
      </c>
      <c r="R24" s="68"/>
      <c r="S24" s="66" t="s">
        <v>27</v>
      </c>
      <c r="T24" s="66" t="s">
        <v>32</v>
      </c>
      <c r="U24" s="18"/>
      <c r="V24" s="18"/>
      <c r="W24" s="18"/>
      <c r="X24" s="18"/>
      <c r="Y24" s="18"/>
      <c r="Z24" s="18"/>
      <c r="AA24" s="18"/>
      <c r="AB24" s="56"/>
    </row>
    <row r="25" spans="1:28" x14ac:dyDescent="0.2">
      <c r="A25" s="64" t="s">
        <v>112</v>
      </c>
      <c r="B25" s="65" t="s">
        <v>113</v>
      </c>
      <c r="C25" s="65" t="s">
        <v>25</v>
      </c>
      <c r="D25" s="65" t="s">
        <v>50</v>
      </c>
      <c r="E25" s="65" t="s">
        <v>22</v>
      </c>
      <c r="F25" s="65" t="s">
        <v>60</v>
      </c>
      <c r="G25" s="65" t="s">
        <v>23</v>
      </c>
      <c r="H25" s="65" t="s">
        <v>44</v>
      </c>
      <c r="I25" s="65" t="s">
        <v>46</v>
      </c>
      <c r="J25" s="65" t="s">
        <v>112</v>
      </c>
      <c r="K25" s="65" t="s">
        <v>113</v>
      </c>
      <c r="L25" s="66" t="s">
        <v>58</v>
      </c>
      <c r="M25" s="66" t="s">
        <v>58</v>
      </c>
      <c r="N25" s="66" t="s">
        <v>38</v>
      </c>
      <c r="O25" s="66" t="s">
        <v>79</v>
      </c>
      <c r="P25" s="66" t="s">
        <v>124</v>
      </c>
      <c r="Q25" s="66" t="s">
        <v>26</v>
      </c>
      <c r="R25" s="66" t="s">
        <v>23</v>
      </c>
      <c r="S25" s="66" t="s">
        <v>26</v>
      </c>
      <c r="T25" s="66" t="s">
        <v>32</v>
      </c>
      <c r="U25" s="18"/>
      <c r="V25" s="18"/>
      <c r="W25" s="18"/>
      <c r="X25" s="18"/>
      <c r="Y25" s="18"/>
      <c r="Z25" s="18"/>
      <c r="AA25" s="18"/>
      <c r="AB25" s="56"/>
    </row>
    <row r="26" spans="1:28" x14ac:dyDescent="0.2">
      <c r="A26" s="64" t="s">
        <v>114</v>
      </c>
      <c r="B26" s="65" t="s">
        <v>115</v>
      </c>
      <c r="C26" s="65" t="s">
        <v>21</v>
      </c>
      <c r="D26" s="65" t="s">
        <v>36</v>
      </c>
      <c r="E26" s="65" t="s">
        <v>21</v>
      </c>
      <c r="F26" s="65" t="s">
        <v>37</v>
      </c>
      <c r="G26" s="65" t="s">
        <v>23</v>
      </c>
      <c r="H26" s="65" t="s">
        <v>91</v>
      </c>
      <c r="I26" s="65" t="s">
        <v>82</v>
      </c>
      <c r="J26" s="65" t="s">
        <v>114</v>
      </c>
      <c r="K26" s="65" t="s">
        <v>115</v>
      </c>
      <c r="L26" s="66" t="s">
        <v>31</v>
      </c>
      <c r="M26" s="66" t="s">
        <v>36</v>
      </c>
      <c r="N26" s="66" t="s">
        <v>72</v>
      </c>
      <c r="O26" s="66" t="s">
        <v>73</v>
      </c>
      <c r="P26" s="66" t="s">
        <v>69</v>
      </c>
      <c r="Q26" s="66" t="s">
        <v>79</v>
      </c>
      <c r="R26" s="66" t="s">
        <v>30</v>
      </c>
      <c r="S26" s="66" t="s">
        <v>38</v>
      </c>
      <c r="T26" s="66" t="s">
        <v>32</v>
      </c>
      <c r="U26" s="18"/>
      <c r="V26" s="18"/>
      <c r="W26" s="18"/>
      <c r="X26" s="18"/>
      <c r="Y26" s="18"/>
      <c r="Z26" s="18"/>
      <c r="AA26" s="18"/>
      <c r="AB26" s="56"/>
    </row>
    <row r="27" spans="1:28" x14ac:dyDescent="0.2">
      <c r="A27" s="64" t="s">
        <v>116</v>
      </c>
      <c r="B27" s="65" t="s">
        <v>117</v>
      </c>
      <c r="C27" s="65" t="s">
        <v>60</v>
      </c>
      <c r="D27" s="65" t="s">
        <v>39</v>
      </c>
      <c r="E27" s="65" t="s">
        <v>28</v>
      </c>
      <c r="F27" s="65" t="s">
        <v>58</v>
      </c>
      <c r="G27" s="65" t="s">
        <v>69</v>
      </c>
      <c r="H27" s="65" t="s">
        <v>24</v>
      </c>
      <c r="I27" s="65" t="s">
        <v>26</v>
      </c>
      <c r="J27" s="65" t="s">
        <v>116</v>
      </c>
      <c r="K27" s="65" t="s">
        <v>117</v>
      </c>
      <c r="L27" s="66" t="s">
        <v>45</v>
      </c>
      <c r="M27" s="66" t="s">
        <v>38</v>
      </c>
      <c r="N27" s="66" t="s">
        <v>58</v>
      </c>
      <c r="O27" s="66" t="s">
        <v>35</v>
      </c>
      <c r="P27" s="66" t="s">
        <v>41</v>
      </c>
      <c r="Q27" s="66" t="s">
        <v>47</v>
      </c>
      <c r="R27" s="66" t="s">
        <v>23</v>
      </c>
      <c r="S27" s="66" t="s">
        <v>26</v>
      </c>
      <c r="T27" s="66" t="s">
        <v>32</v>
      </c>
      <c r="U27" s="18"/>
      <c r="V27" s="18"/>
      <c r="W27" s="18"/>
      <c r="X27" s="18"/>
      <c r="Y27" s="18"/>
      <c r="Z27" s="18"/>
      <c r="AA27" s="18"/>
      <c r="AB27" s="56"/>
    </row>
    <row r="28" spans="1:28" x14ac:dyDescent="0.2">
      <c r="A28" s="64" t="s">
        <v>118</v>
      </c>
      <c r="B28" s="65" t="s">
        <v>119</v>
      </c>
      <c r="C28" s="65" t="s">
        <v>82</v>
      </c>
      <c r="D28" s="67"/>
      <c r="E28" s="65" t="s">
        <v>64</v>
      </c>
      <c r="F28" s="65" t="s">
        <v>52</v>
      </c>
      <c r="G28" s="65" t="s">
        <v>23</v>
      </c>
      <c r="H28" s="65" t="s">
        <v>46</v>
      </c>
      <c r="I28" s="65" t="s">
        <v>91</v>
      </c>
      <c r="J28" s="65" t="s">
        <v>118</v>
      </c>
      <c r="K28" s="65" t="s">
        <v>119</v>
      </c>
      <c r="L28" s="66" t="s">
        <v>73</v>
      </c>
      <c r="M28" s="66" t="s">
        <v>73</v>
      </c>
      <c r="N28" s="66" t="s">
        <v>51</v>
      </c>
      <c r="O28" s="66" t="s">
        <v>64</v>
      </c>
      <c r="P28" s="66" t="s">
        <v>23</v>
      </c>
      <c r="Q28" s="66" t="s">
        <v>37</v>
      </c>
      <c r="R28" s="66" t="s">
        <v>23</v>
      </c>
      <c r="S28" s="66" t="s">
        <v>46</v>
      </c>
      <c r="T28" s="66" t="s">
        <v>32</v>
      </c>
      <c r="U28" s="18"/>
      <c r="V28" s="18"/>
      <c r="W28" s="18"/>
      <c r="X28" s="18"/>
      <c r="Y28" s="18"/>
      <c r="Z28" s="18"/>
      <c r="AA28" s="18"/>
      <c r="AB28" s="56"/>
    </row>
    <row r="29" spans="1:28" x14ac:dyDescent="0.2">
      <c r="A29" s="64" t="s">
        <v>120</v>
      </c>
      <c r="B29" s="65" t="s">
        <v>121</v>
      </c>
      <c r="C29" s="65" t="s">
        <v>82</v>
      </c>
      <c r="D29" s="65" t="s">
        <v>91</v>
      </c>
      <c r="E29" s="65" t="s">
        <v>64</v>
      </c>
      <c r="F29" s="65" t="s">
        <v>51</v>
      </c>
      <c r="G29" s="65" t="s">
        <v>30</v>
      </c>
      <c r="H29" s="65" t="s">
        <v>26</v>
      </c>
      <c r="I29" s="65" t="s">
        <v>46</v>
      </c>
      <c r="J29" s="65" t="s">
        <v>120</v>
      </c>
      <c r="K29" s="65" t="s">
        <v>121</v>
      </c>
      <c r="L29" s="66" t="s">
        <v>68</v>
      </c>
      <c r="M29" s="66" t="s">
        <v>100</v>
      </c>
      <c r="N29" s="66" t="s">
        <v>100</v>
      </c>
      <c r="O29" s="66" t="s">
        <v>73</v>
      </c>
      <c r="P29" s="66" t="s">
        <v>30</v>
      </c>
      <c r="Q29" s="66" t="s">
        <v>56</v>
      </c>
      <c r="R29" s="66" t="s">
        <v>30</v>
      </c>
      <c r="S29" s="66" t="s">
        <v>52</v>
      </c>
      <c r="T29" s="66" t="s">
        <v>32</v>
      </c>
      <c r="U29" s="18"/>
      <c r="V29" s="18"/>
      <c r="W29" s="18"/>
      <c r="X29" s="18"/>
      <c r="Y29" s="18"/>
      <c r="Z29" s="18"/>
      <c r="AA29" s="18"/>
      <c r="AB29" s="56"/>
    </row>
    <row r="30" spans="1:28" ht="15" thickBot="1" x14ac:dyDescent="0.25">
      <c r="A30" s="64" t="s">
        <v>122</v>
      </c>
      <c r="B30" s="65" t="s">
        <v>123</v>
      </c>
      <c r="C30" s="67"/>
      <c r="D30" s="67"/>
      <c r="E30" s="67">
        <v>45</v>
      </c>
      <c r="F30" s="67">
        <v>19</v>
      </c>
      <c r="G30" s="65"/>
      <c r="H30" s="67"/>
      <c r="I30" s="67"/>
      <c r="J30" s="65" t="s">
        <v>122</v>
      </c>
      <c r="K30" s="65" t="s">
        <v>123</v>
      </c>
      <c r="L30" s="66" t="s">
        <v>78</v>
      </c>
      <c r="M30" s="68"/>
      <c r="N30" s="68"/>
      <c r="O30" s="66"/>
      <c r="P30" s="68"/>
      <c r="Q30" s="68"/>
      <c r="R30" s="68"/>
      <c r="S30" s="68"/>
      <c r="T30" s="66" t="s">
        <v>32</v>
      </c>
      <c r="U30" s="18"/>
      <c r="V30" s="18"/>
      <c r="W30" s="18"/>
      <c r="X30" s="18"/>
      <c r="Y30" s="18"/>
      <c r="Z30" s="18"/>
      <c r="AA30" s="18"/>
      <c r="AB30" s="56"/>
    </row>
    <row r="31" spans="1:28" ht="43.5" thickBot="1" x14ac:dyDescent="0.25">
      <c r="A31" s="69" t="s">
        <v>229</v>
      </c>
      <c r="B31" s="70" t="s">
        <v>150</v>
      </c>
      <c r="C31" s="70">
        <v>3</v>
      </c>
      <c r="D31" s="70">
        <v>3.5</v>
      </c>
      <c r="E31" s="70">
        <v>3.5</v>
      </c>
      <c r="F31" s="70">
        <v>4</v>
      </c>
      <c r="G31" s="70">
        <v>1</v>
      </c>
      <c r="H31" s="70">
        <v>2</v>
      </c>
      <c r="I31" s="70">
        <v>0.75</v>
      </c>
      <c r="J31" s="71"/>
      <c r="K31" s="72" t="s">
        <v>228</v>
      </c>
      <c r="L31" s="72">
        <v>4</v>
      </c>
      <c r="M31" s="72">
        <v>3</v>
      </c>
      <c r="N31" s="72">
        <v>3.5</v>
      </c>
      <c r="O31" s="72">
        <v>3</v>
      </c>
      <c r="P31" s="72">
        <v>1</v>
      </c>
      <c r="Q31" s="72">
        <v>0.75</v>
      </c>
      <c r="R31" s="72">
        <v>1</v>
      </c>
      <c r="S31" s="72">
        <v>1</v>
      </c>
      <c r="T31" s="72">
        <v>0.5</v>
      </c>
      <c r="U31" s="73">
        <v>4</v>
      </c>
      <c r="V31" s="73">
        <v>3</v>
      </c>
      <c r="W31" s="73">
        <v>2.5</v>
      </c>
      <c r="X31" s="74">
        <v>2</v>
      </c>
      <c r="Y31" s="8" t="s">
        <v>133</v>
      </c>
      <c r="Z31" s="9"/>
      <c r="AA31" s="18"/>
      <c r="AB31" s="56"/>
    </row>
    <row r="32" spans="1:28" ht="25.5" x14ac:dyDescent="0.2">
      <c r="A32" s="64" t="s">
        <v>230</v>
      </c>
      <c r="B32" s="75">
        <f>C32+D32+E32+F32+G32+H32+I32+L32+M32+N32+O32+P32+Q32+S32+T32</f>
        <v>32.214999999999996</v>
      </c>
      <c r="C32" s="76">
        <f>C20*C31/100</f>
        <v>2.94</v>
      </c>
      <c r="D32" s="76">
        <f t="shared" ref="D32:S32" si="0">D20*D31/100</f>
        <v>3.36</v>
      </c>
      <c r="E32" s="76">
        <f t="shared" si="0"/>
        <v>3.4649999999999999</v>
      </c>
      <c r="F32" s="76">
        <f t="shared" si="0"/>
        <v>3.76</v>
      </c>
      <c r="G32" s="76" t="s">
        <v>152</v>
      </c>
      <c r="H32" s="76">
        <f t="shared" si="0"/>
        <v>1.76</v>
      </c>
      <c r="I32" s="76">
        <f t="shared" si="0"/>
        <v>0.72</v>
      </c>
      <c r="J32" s="77" t="s">
        <v>144</v>
      </c>
      <c r="K32" s="77">
        <f>C31+D31+E31+F31+G31+H31+I31+L31+M31+N31+O31+P31+Q31+S31+T31</f>
        <v>34.5</v>
      </c>
      <c r="L32" s="76">
        <f t="shared" si="0"/>
        <v>3.76</v>
      </c>
      <c r="M32" s="76">
        <f t="shared" si="0"/>
        <v>2.4300000000000002</v>
      </c>
      <c r="N32" s="76">
        <f t="shared" si="0"/>
        <v>3.22</v>
      </c>
      <c r="O32" s="76">
        <f t="shared" si="0"/>
        <v>2.97</v>
      </c>
      <c r="P32" s="76" t="s">
        <v>152</v>
      </c>
      <c r="Q32" s="76">
        <f t="shared" si="0"/>
        <v>0.69</v>
      </c>
      <c r="R32" s="76"/>
      <c r="S32" s="76">
        <f t="shared" si="0"/>
        <v>0.84</v>
      </c>
      <c r="T32" s="76" t="s">
        <v>125</v>
      </c>
      <c r="U32" s="19">
        <f>95/100*U31</f>
        <v>3.8</v>
      </c>
      <c r="V32" s="19">
        <f>85/100*V31</f>
        <v>2.5499999999999998</v>
      </c>
      <c r="W32" s="19">
        <f>85/100*W31</f>
        <v>2.125</v>
      </c>
      <c r="X32" s="19">
        <f>95/100*X31</f>
        <v>1.9</v>
      </c>
      <c r="Y32" s="65" t="s">
        <v>232</v>
      </c>
      <c r="Z32" s="76">
        <f>B32+U32+V32+W32+X32</f>
        <v>42.589999999999989</v>
      </c>
      <c r="AA32" s="85" t="s">
        <v>146</v>
      </c>
      <c r="AB32" s="86">
        <f>K32+U31+V31+W31+X31</f>
        <v>46</v>
      </c>
    </row>
    <row r="33" spans="1:28" ht="25.5" x14ac:dyDescent="0.2">
      <c r="A33" s="64" t="s">
        <v>231</v>
      </c>
      <c r="B33" s="75">
        <f>C33+D33+E33+F33+G33+H33+I33+L33+M33+N33+O33+P33+Q33+R33+S33+T33</f>
        <v>32.907499999999999</v>
      </c>
      <c r="C33" s="76">
        <f>C29*C31/100</f>
        <v>2.73</v>
      </c>
      <c r="D33" s="76">
        <f>D29*D31/100</f>
        <v>3.01</v>
      </c>
      <c r="E33" s="76">
        <f>E29*E31/100</f>
        <v>3.43</v>
      </c>
      <c r="F33" s="76">
        <f>F29*F31/100</f>
        <v>3.84</v>
      </c>
      <c r="G33" s="19">
        <v>0.95</v>
      </c>
      <c r="H33" s="76">
        <f>H29*H31/100</f>
        <v>1.5</v>
      </c>
      <c r="I33" s="76">
        <f>I29*I31/100</f>
        <v>0.54</v>
      </c>
      <c r="J33" s="65" t="s">
        <v>145</v>
      </c>
      <c r="K33" s="18">
        <v>35.5</v>
      </c>
      <c r="L33" s="76">
        <f>L29*L31/100</f>
        <v>3.8</v>
      </c>
      <c r="M33" s="76">
        <f>M29*M31/100</f>
        <v>2.97</v>
      </c>
      <c r="N33" s="76">
        <f>N29*N31/100</f>
        <v>3.4649999999999999</v>
      </c>
      <c r="O33" s="76">
        <f>O29*O31/100</f>
        <v>2.91</v>
      </c>
      <c r="P33" s="19">
        <v>0.95</v>
      </c>
      <c r="Q33" s="76">
        <f>Q29*Q31/100</f>
        <v>0.59250000000000003</v>
      </c>
      <c r="R33" s="19">
        <v>0.95</v>
      </c>
      <c r="S33" s="76">
        <f>S29*S31/100</f>
        <v>0.87</v>
      </c>
      <c r="T33" s="19" t="s">
        <v>126</v>
      </c>
      <c r="U33" s="18"/>
      <c r="V33" s="18"/>
      <c r="W33" s="18"/>
      <c r="X33" s="19"/>
      <c r="Y33" s="65" t="s">
        <v>233</v>
      </c>
      <c r="Z33" s="18"/>
      <c r="AA33" s="65" t="s">
        <v>147</v>
      </c>
      <c r="AB33" s="56"/>
    </row>
    <row r="34" spans="1:28" ht="15" thickBot="1" x14ac:dyDescent="0.25">
      <c r="A34" s="44"/>
      <c r="B34" s="18" t="s">
        <v>237</v>
      </c>
      <c r="C34" s="34">
        <f>C20*C31/$O64</f>
        <v>14.886075949367088</v>
      </c>
      <c r="D34" s="34">
        <f t="shared" ref="D34:I34" si="1">D20*D31/$O64</f>
        <v>17.0126582278481</v>
      </c>
      <c r="E34" s="34">
        <f t="shared" si="1"/>
        <v>17.544303797468356</v>
      </c>
      <c r="F34" s="34">
        <f t="shared" si="1"/>
        <v>19.037974683544302</v>
      </c>
      <c r="G34" s="34">
        <f>95*G31/$O64</f>
        <v>4.8101265822784809</v>
      </c>
      <c r="H34" s="34">
        <f t="shared" si="1"/>
        <v>8.9113924050632907</v>
      </c>
      <c r="I34" s="34">
        <f t="shared" si="1"/>
        <v>3.6455696202531644</v>
      </c>
      <c r="J34" s="34"/>
      <c r="K34" s="34"/>
      <c r="L34" s="34">
        <f>L20*L31/$U64</f>
        <v>14.323809523809524</v>
      </c>
      <c r="M34" s="34">
        <f t="shared" ref="M34:S34" si="2">M20*M31/$U64</f>
        <v>9.257142857142858</v>
      </c>
      <c r="N34" s="34">
        <f t="shared" si="2"/>
        <v>12.266666666666667</v>
      </c>
      <c r="O34" s="34">
        <f t="shared" si="2"/>
        <v>11.314285714285715</v>
      </c>
      <c r="P34" s="34">
        <f>95*P31/$U64</f>
        <v>3.6190476190476191</v>
      </c>
      <c r="Q34" s="34">
        <f t="shared" si="2"/>
        <v>2.6285714285714286</v>
      </c>
      <c r="R34" s="34"/>
      <c r="S34" s="34">
        <f t="shared" si="2"/>
        <v>3.2</v>
      </c>
      <c r="T34" s="34">
        <f>80*T31/$U64</f>
        <v>1.5238095238095237</v>
      </c>
      <c r="U34" s="34">
        <f>95*U31/$U64</f>
        <v>14.476190476190476</v>
      </c>
      <c r="V34" s="34">
        <f>85*V31/$U64</f>
        <v>9.7142857142857135</v>
      </c>
      <c r="W34" s="34">
        <f>85*W31/$U64</f>
        <v>8.0952380952380949</v>
      </c>
      <c r="X34" s="34">
        <f>95*X31/$O64</f>
        <v>9.6202531645569618</v>
      </c>
      <c r="Y34" s="18"/>
      <c r="Z34" s="18"/>
      <c r="AA34" s="87" t="s">
        <v>148</v>
      </c>
      <c r="AB34" s="88">
        <f>B36+U36+V36+W36+X36</f>
        <v>195.9</v>
      </c>
    </row>
    <row r="35" spans="1:28" ht="15" thickBot="1" x14ac:dyDescent="0.25">
      <c r="A35" s="44"/>
      <c r="B35" s="78"/>
      <c r="C35" s="76">
        <f>C20/10-5</f>
        <v>4.8000000000000007</v>
      </c>
      <c r="D35" s="76">
        <f t="shared" ref="D35:S35" si="3">D20/10-5</f>
        <v>4.5999999999999996</v>
      </c>
      <c r="E35" s="76">
        <f t="shared" si="3"/>
        <v>4.9000000000000004</v>
      </c>
      <c r="F35" s="76">
        <f t="shared" si="3"/>
        <v>4.4000000000000004</v>
      </c>
      <c r="G35" s="19">
        <f>95/10-5</f>
        <v>4.5</v>
      </c>
      <c r="H35" s="76">
        <f t="shared" si="3"/>
        <v>3.8000000000000007</v>
      </c>
      <c r="I35" s="76">
        <f t="shared" si="3"/>
        <v>4.5999999999999996</v>
      </c>
      <c r="J35" s="76"/>
      <c r="K35" s="76"/>
      <c r="L35" s="76">
        <f t="shared" si="3"/>
        <v>4.4000000000000004</v>
      </c>
      <c r="M35" s="76">
        <f t="shared" si="3"/>
        <v>3.0999999999999996</v>
      </c>
      <c r="N35" s="76">
        <f t="shared" si="3"/>
        <v>4.1999999999999993</v>
      </c>
      <c r="O35" s="76">
        <f t="shared" si="3"/>
        <v>4.9000000000000004</v>
      </c>
      <c r="P35" s="19">
        <f>95/10-5</f>
        <v>4.5</v>
      </c>
      <c r="Q35" s="76">
        <f t="shared" si="3"/>
        <v>4.1999999999999993</v>
      </c>
      <c r="R35" s="19"/>
      <c r="S35" s="76">
        <f t="shared" si="3"/>
        <v>3.4000000000000004</v>
      </c>
      <c r="T35" s="19">
        <v>3</v>
      </c>
      <c r="U35" s="19">
        <f>95/10-5</f>
        <v>4.5</v>
      </c>
      <c r="V35" s="19">
        <f>85/10-5</f>
        <v>3.5</v>
      </c>
      <c r="W35" s="19">
        <f>85/10-5</f>
        <v>3.5</v>
      </c>
      <c r="X35" s="19">
        <f>95/10-5</f>
        <v>4.5</v>
      </c>
      <c r="Y35" s="10" t="s">
        <v>130</v>
      </c>
      <c r="Z35" s="11"/>
      <c r="AA35" s="18"/>
      <c r="AB35" s="56"/>
    </row>
    <row r="36" spans="1:28" x14ac:dyDescent="0.2">
      <c r="A36" s="79" t="s">
        <v>149</v>
      </c>
      <c r="B36" s="80">
        <f>SUM(C36:T36)</f>
        <v>149.65</v>
      </c>
      <c r="C36" s="81">
        <f>C35*C31</f>
        <v>14.400000000000002</v>
      </c>
      <c r="D36" s="81">
        <f t="shared" ref="D36:T36" si="4">D35*D31</f>
        <v>16.099999999999998</v>
      </c>
      <c r="E36" s="81">
        <f t="shared" si="4"/>
        <v>17.150000000000002</v>
      </c>
      <c r="F36" s="81">
        <f t="shared" si="4"/>
        <v>17.600000000000001</v>
      </c>
      <c r="G36" s="81">
        <f t="shared" si="4"/>
        <v>4.5</v>
      </c>
      <c r="H36" s="81">
        <f t="shared" si="4"/>
        <v>7.6000000000000014</v>
      </c>
      <c r="I36" s="81">
        <f t="shared" si="4"/>
        <v>3.4499999999999997</v>
      </c>
      <c r="J36" s="81"/>
      <c r="K36" s="81"/>
      <c r="L36" s="81">
        <f t="shared" si="4"/>
        <v>17.600000000000001</v>
      </c>
      <c r="M36" s="81">
        <f t="shared" si="4"/>
        <v>9.2999999999999989</v>
      </c>
      <c r="N36" s="81">
        <f t="shared" si="4"/>
        <v>14.699999999999998</v>
      </c>
      <c r="O36" s="81">
        <f t="shared" si="4"/>
        <v>14.700000000000001</v>
      </c>
      <c r="P36" s="81">
        <f t="shared" si="4"/>
        <v>4.5</v>
      </c>
      <c r="Q36" s="81">
        <f t="shared" si="4"/>
        <v>3.1499999999999995</v>
      </c>
      <c r="R36" s="81"/>
      <c r="S36" s="81">
        <f t="shared" si="4"/>
        <v>3.4000000000000004</v>
      </c>
      <c r="T36" s="81">
        <f t="shared" si="4"/>
        <v>1.5</v>
      </c>
      <c r="U36" s="81">
        <f t="shared" ref="U36:W36" si="5">U35*U31</f>
        <v>18</v>
      </c>
      <c r="V36" s="81">
        <f t="shared" si="5"/>
        <v>10.5</v>
      </c>
      <c r="W36" s="81">
        <f t="shared" si="5"/>
        <v>8.75</v>
      </c>
      <c r="X36" s="81">
        <f t="shared" ref="X36" si="6">X35*X31</f>
        <v>9</v>
      </c>
      <c r="Y36" s="82" t="s">
        <v>131</v>
      </c>
      <c r="Z36" s="89"/>
      <c r="AA36" s="52"/>
      <c r="AB36" s="53"/>
    </row>
    <row r="38" spans="1:28" ht="15" thickBot="1" x14ac:dyDescent="0.25">
      <c r="A38" s="41"/>
      <c r="B38" s="42"/>
      <c r="C38" s="42" t="s">
        <v>187</v>
      </c>
      <c r="D38" s="42" t="s">
        <v>188</v>
      </c>
      <c r="E38" s="42" t="s">
        <v>195</v>
      </c>
      <c r="F38" s="42" t="s">
        <v>189</v>
      </c>
      <c r="G38" s="42" t="s">
        <v>190</v>
      </c>
      <c r="H38" s="42" t="s">
        <v>191</v>
      </c>
      <c r="I38" s="42" t="s">
        <v>192</v>
      </c>
      <c r="J38" s="42" t="s">
        <v>193</v>
      </c>
      <c r="K38" s="42" t="s">
        <v>194</v>
      </c>
      <c r="L38" s="42"/>
      <c r="M38" s="43"/>
      <c r="O38" s="41"/>
      <c r="P38" s="42"/>
      <c r="Q38" s="42" t="s">
        <v>252</v>
      </c>
      <c r="R38" s="42" t="s">
        <v>257</v>
      </c>
      <c r="S38" s="42" t="s">
        <v>255</v>
      </c>
      <c r="T38" s="42" t="s">
        <v>258</v>
      </c>
      <c r="U38" s="42" t="s">
        <v>256</v>
      </c>
      <c r="V38" s="42" t="s">
        <v>251</v>
      </c>
      <c r="W38" s="42" t="s">
        <v>253</v>
      </c>
      <c r="X38" s="42" t="s">
        <v>254</v>
      </c>
      <c r="Y38" s="54" t="s">
        <v>261</v>
      </c>
      <c r="Z38" s="55"/>
    </row>
    <row r="39" spans="1:28" ht="15" thickBot="1" x14ac:dyDescent="0.25">
      <c r="A39" s="44"/>
      <c r="B39" s="18" t="s">
        <v>250</v>
      </c>
      <c r="C39" s="19" t="s">
        <v>127</v>
      </c>
      <c r="D39" s="19" t="s">
        <v>127</v>
      </c>
      <c r="E39" s="19">
        <v>94</v>
      </c>
      <c r="F39" s="19" t="s">
        <v>127</v>
      </c>
      <c r="G39" s="19" t="s">
        <v>127</v>
      </c>
      <c r="H39" s="19">
        <v>100</v>
      </c>
      <c r="I39" s="19">
        <v>100</v>
      </c>
      <c r="J39" s="19">
        <v>100</v>
      </c>
      <c r="K39" s="19">
        <v>85</v>
      </c>
      <c r="L39" s="12" t="s">
        <v>129</v>
      </c>
      <c r="M39" s="45"/>
      <c r="O39" s="44"/>
      <c r="P39" s="18" t="s">
        <v>259</v>
      </c>
      <c r="Q39" s="19" t="s">
        <v>127</v>
      </c>
      <c r="R39" s="19" t="s">
        <v>124</v>
      </c>
      <c r="S39" s="19">
        <v>92</v>
      </c>
      <c r="T39" s="19">
        <v>95</v>
      </c>
      <c r="U39" s="19">
        <v>82</v>
      </c>
      <c r="V39" s="19">
        <v>96</v>
      </c>
      <c r="W39" s="19">
        <v>91</v>
      </c>
      <c r="X39" s="19">
        <v>88</v>
      </c>
      <c r="Y39" s="10" t="s">
        <v>262</v>
      </c>
      <c r="Z39" s="48"/>
    </row>
    <row r="40" spans="1:28" ht="15" thickBot="1" x14ac:dyDescent="0.25">
      <c r="A40" s="46" t="s">
        <v>132</v>
      </c>
      <c r="B40" s="47">
        <f>SUM(C40:K40)</f>
        <v>22</v>
      </c>
      <c r="C40" s="19">
        <v>1</v>
      </c>
      <c r="D40" s="19">
        <v>1</v>
      </c>
      <c r="E40" s="19">
        <v>4</v>
      </c>
      <c r="F40" s="19">
        <v>2.5</v>
      </c>
      <c r="G40" s="19">
        <v>2</v>
      </c>
      <c r="H40" s="19">
        <v>3.5</v>
      </c>
      <c r="I40" s="19">
        <v>2</v>
      </c>
      <c r="J40" s="19">
        <v>3.5</v>
      </c>
      <c r="K40" s="19">
        <v>2.5</v>
      </c>
      <c r="L40" s="10" t="s">
        <v>128</v>
      </c>
      <c r="M40" s="48"/>
      <c r="O40" s="46" t="s">
        <v>132</v>
      </c>
      <c r="P40" s="47">
        <f>SUM(Q40:X40)</f>
        <v>21.5</v>
      </c>
      <c r="Q40" s="19">
        <v>2</v>
      </c>
      <c r="R40" s="19">
        <v>3</v>
      </c>
      <c r="S40" s="19">
        <v>2</v>
      </c>
      <c r="T40" s="19">
        <v>2</v>
      </c>
      <c r="U40" s="19">
        <v>5</v>
      </c>
      <c r="V40" s="19">
        <v>3.5</v>
      </c>
      <c r="W40" s="19">
        <v>2</v>
      </c>
      <c r="X40" s="19">
        <v>2</v>
      </c>
      <c r="Y40" s="10" t="s">
        <v>263</v>
      </c>
      <c r="Z40" s="48"/>
    </row>
    <row r="41" spans="1:28" ht="15" thickBot="1" x14ac:dyDescent="0.25">
      <c r="A41" s="44"/>
      <c r="B41" s="18"/>
      <c r="C41" s="19">
        <f>95/10-5</f>
        <v>4.5</v>
      </c>
      <c r="D41" s="19">
        <f>95/10-5</f>
        <v>4.5</v>
      </c>
      <c r="E41" s="19">
        <f>E39/10-5</f>
        <v>4.4000000000000004</v>
      </c>
      <c r="F41" s="19">
        <f>95/10-5</f>
        <v>4.5</v>
      </c>
      <c r="G41" s="19">
        <f>95/10-5</f>
        <v>4.5</v>
      </c>
      <c r="H41" s="19">
        <f>H39/10-5</f>
        <v>5</v>
      </c>
      <c r="I41" s="19">
        <f t="shared" ref="I41:K41" si="7">I39/10-5</f>
        <v>5</v>
      </c>
      <c r="J41" s="19">
        <f t="shared" si="7"/>
        <v>5</v>
      </c>
      <c r="K41" s="19">
        <f t="shared" si="7"/>
        <v>3.5</v>
      </c>
      <c r="L41" s="10" t="s">
        <v>130</v>
      </c>
      <c r="M41" s="48"/>
      <c r="O41" s="44"/>
      <c r="P41" s="18"/>
      <c r="Q41" s="19">
        <f>95/10-5</f>
        <v>4.5</v>
      </c>
      <c r="R41" s="19">
        <f>85/10-5</f>
        <v>3.5</v>
      </c>
      <c r="S41" s="19">
        <f>S39/10-5</f>
        <v>4.1999999999999993</v>
      </c>
      <c r="T41" s="19">
        <f>95/10-5</f>
        <v>4.5</v>
      </c>
      <c r="U41" s="19">
        <f>U39/10-5</f>
        <v>3.1999999999999993</v>
      </c>
      <c r="V41" s="19">
        <f t="shared" ref="V41:X41" si="8">V39/10-5</f>
        <v>4.5999999999999996</v>
      </c>
      <c r="W41" s="19">
        <f t="shared" si="8"/>
        <v>4.0999999999999996</v>
      </c>
      <c r="X41" s="19">
        <f t="shared" si="8"/>
        <v>3.8000000000000007</v>
      </c>
      <c r="Y41" s="10" t="s">
        <v>131</v>
      </c>
      <c r="Z41" s="48"/>
    </row>
    <row r="42" spans="1:28" ht="15" thickBot="1" x14ac:dyDescent="0.25">
      <c r="A42" s="49" t="s">
        <v>136</v>
      </c>
      <c r="B42" s="50">
        <f>SUM(C42:K42)</f>
        <v>100.6</v>
      </c>
      <c r="C42" s="19">
        <f t="shared" ref="C42:H42" si="9">C41*C40</f>
        <v>4.5</v>
      </c>
      <c r="D42" s="19">
        <f t="shared" si="9"/>
        <v>4.5</v>
      </c>
      <c r="E42" s="19">
        <f t="shared" si="9"/>
        <v>17.600000000000001</v>
      </c>
      <c r="F42" s="19">
        <f t="shared" si="9"/>
        <v>11.25</v>
      </c>
      <c r="G42" s="19">
        <f t="shared" si="9"/>
        <v>9</v>
      </c>
      <c r="H42" s="19">
        <f t="shared" si="9"/>
        <v>17.5</v>
      </c>
      <c r="I42" s="19">
        <f t="shared" ref="I42:K42" si="10">I41*I40</f>
        <v>10</v>
      </c>
      <c r="J42" s="19">
        <f t="shared" si="10"/>
        <v>17.5</v>
      </c>
      <c r="K42" s="19">
        <f t="shared" si="10"/>
        <v>8.75</v>
      </c>
      <c r="L42" s="10" t="s">
        <v>131</v>
      </c>
      <c r="M42" s="48"/>
      <c r="O42" s="49" t="s">
        <v>260</v>
      </c>
      <c r="P42" s="50">
        <f>SUM(Q42:Y42)</f>
        <v>84.799999999999983</v>
      </c>
      <c r="Q42" s="19">
        <f t="shared" ref="Q42:Y42" si="11">Q41*Q40</f>
        <v>9</v>
      </c>
      <c r="R42" s="19">
        <f t="shared" si="11"/>
        <v>10.5</v>
      </c>
      <c r="S42" s="19">
        <f>S41*S40</f>
        <v>8.3999999999999986</v>
      </c>
      <c r="T42" s="19">
        <f t="shared" si="11"/>
        <v>9</v>
      </c>
      <c r="U42" s="19">
        <f>U41*U40</f>
        <v>15.999999999999996</v>
      </c>
      <c r="V42" s="19">
        <f>V41*V40</f>
        <v>16.099999999999998</v>
      </c>
      <c r="W42" s="19">
        <f>W41*W40</f>
        <v>8.1999999999999993</v>
      </c>
      <c r="X42" s="19">
        <f>X41*X40</f>
        <v>7.6000000000000014</v>
      </c>
      <c r="Y42" s="18"/>
      <c r="Z42" s="56"/>
    </row>
    <row r="43" spans="1:28" x14ac:dyDescent="0.2">
      <c r="A43" s="51" t="s">
        <v>236</v>
      </c>
      <c r="B43" s="52">
        <f>SUM(C43:K43)</f>
        <v>95.72727272727272</v>
      </c>
      <c r="C43" s="52">
        <f>C40/$B40*95</f>
        <v>4.3181818181818183</v>
      </c>
      <c r="D43" s="52">
        <f>D40/$B40*95</f>
        <v>4.3181818181818183</v>
      </c>
      <c r="E43" s="52">
        <f>E40/$B40*E39</f>
        <v>17.09090909090909</v>
      </c>
      <c r="F43" s="52">
        <f>F40/$B40*95</f>
        <v>10.795454545454545</v>
      </c>
      <c r="G43" s="52">
        <f>G40/$B40*95</f>
        <v>8.6363636363636367</v>
      </c>
      <c r="H43" s="52">
        <f>H40/$B40*H39</f>
        <v>15.909090909090908</v>
      </c>
      <c r="I43" s="52">
        <f t="shared" ref="I43:J43" si="12">I40/$B40*I39</f>
        <v>9.0909090909090917</v>
      </c>
      <c r="J43" s="52">
        <f t="shared" si="12"/>
        <v>15.909090909090908</v>
      </c>
      <c r="K43" s="52">
        <f>K40/$B40*K39</f>
        <v>9.6590909090909083</v>
      </c>
      <c r="L43" s="52"/>
      <c r="M43" s="53"/>
      <c r="O43" s="51" t="s">
        <v>236</v>
      </c>
      <c r="P43" s="52">
        <f>SUM(Q43:Y43)</f>
        <v>89.441860465116278</v>
      </c>
      <c r="Q43" s="52">
        <f>Q40/$P40*95</f>
        <v>8.8372093023255811</v>
      </c>
      <c r="R43" s="52">
        <f>R40/$P40*85</f>
        <v>11.86046511627907</v>
      </c>
      <c r="S43" s="52">
        <f>S40/$P40*S39</f>
        <v>8.5581395348837201</v>
      </c>
      <c r="T43" s="52">
        <f>T40/$P40*T39</f>
        <v>8.8372093023255811</v>
      </c>
      <c r="U43" s="52">
        <f>U40/$P40*U39</f>
        <v>19.069767441860463</v>
      </c>
      <c r="V43" s="52">
        <f>V40/$P40*V39</f>
        <v>15.627906976744187</v>
      </c>
      <c r="W43" s="52">
        <f>W40/$P40*W39</f>
        <v>8.4651162790697665</v>
      </c>
      <c r="X43" s="52">
        <f>X40/$P40*X39</f>
        <v>8.1860465116279073</v>
      </c>
      <c r="Y43" s="52"/>
      <c r="Z43" s="53"/>
    </row>
    <row r="44" spans="1:28" ht="15" thickBot="1" x14ac:dyDescent="0.25">
      <c r="E44" s="6"/>
    </row>
    <row r="45" spans="1:28" x14ac:dyDescent="0.2">
      <c r="A45" s="99" t="s">
        <v>138</v>
      </c>
      <c r="B45" s="100"/>
      <c r="C45" s="14"/>
      <c r="D45" s="101">
        <v>4.2072000000000003</v>
      </c>
    </row>
    <row r="46" spans="1:28" x14ac:dyDescent="0.2">
      <c r="A46" s="102" t="s">
        <v>135</v>
      </c>
      <c r="B46" s="103"/>
      <c r="C46" s="103"/>
      <c r="D46" s="104">
        <v>119</v>
      </c>
    </row>
    <row r="47" spans="1:28" x14ac:dyDescent="0.2">
      <c r="A47" s="17" t="s">
        <v>226</v>
      </c>
      <c r="B47" s="18"/>
      <c r="C47" s="18"/>
      <c r="D47" s="23"/>
    </row>
    <row r="48" spans="1:28" x14ac:dyDescent="0.2">
      <c r="A48" s="17"/>
      <c r="B48" s="18"/>
      <c r="C48" s="18"/>
      <c r="D48" s="23"/>
    </row>
    <row r="49" spans="1:24" x14ac:dyDescent="0.2">
      <c r="A49" s="17" t="s">
        <v>137</v>
      </c>
      <c r="B49" s="18"/>
      <c r="C49" s="94">
        <f>(D46*D45-B42)/(D46-B40)</f>
        <v>4.1242969072164959</v>
      </c>
      <c r="D49" s="23"/>
    </row>
    <row r="50" spans="1:24" ht="15" thickBot="1" x14ac:dyDescent="0.25">
      <c r="A50" s="30" t="s">
        <v>139</v>
      </c>
      <c r="B50" s="31"/>
      <c r="C50" s="105">
        <f>((D46-B40)*C49-AB34)/(D46-B40-AB32)</f>
        <v>4.0030745098039242</v>
      </c>
      <c r="D50" s="106" t="s">
        <v>234</v>
      </c>
    </row>
    <row r="52" spans="1:24" ht="15" thickBot="1" x14ac:dyDescent="0.25">
      <c r="A52" s="90" t="s">
        <v>153</v>
      </c>
      <c r="B52" s="91" t="s">
        <v>159</v>
      </c>
      <c r="C52" s="92" t="s">
        <v>158</v>
      </c>
      <c r="D52" s="92" t="s">
        <v>163</v>
      </c>
      <c r="E52" s="93" t="s">
        <v>131</v>
      </c>
      <c r="F52" s="43" t="s">
        <v>236</v>
      </c>
      <c r="G52" s="41"/>
      <c r="H52" s="91" t="s">
        <v>160</v>
      </c>
      <c r="I52" s="92" t="s">
        <v>161</v>
      </c>
      <c r="J52" s="92" t="s">
        <v>162</v>
      </c>
      <c r="K52" s="92" t="s">
        <v>131</v>
      </c>
      <c r="L52" s="43" t="s">
        <v>236</v>
      </c>
      <c r="M52" s="41"/>
      <c r="N52" s="42"/>
      <c r="O52" s="42"/>
      <c r="P52" s="42"/>
      <c r="Q52" s="42"/>
      <c r="R52" s="43"/>
      <c r="S52" s="41"/>
      <c r="T52" s="42"/>
      <c r="U52" s="42"/>
      <c r="V52" s="42"/>
      <c r="W52" s="42"/>
      <c r="X52" s="43"/>
    </row>
    <row r="53" spans="1:24" x14ac:dyDescent="0.2">
      <c r="A53" s="44" t="s">
        <v>166</v>
      </c>
      <c r="B53" s="94">
        <v>93</v>
      </c>
      <c r="C53" s="18">
        <v>4</v>
      </c>
      <c r="D53" s="18">
        <f>B53/10-5</f>
        <v>4.3000000000000007</v>
      </c>
      <c r="E53" s="18">
        <f>D53*C53</f>
        <v>17.200000000000003</v>
      </c>
      <c r="F53" s="56">
        <f>B53*C53/C$64</f>
        <v>14.732673267326733</v>
      </c>
      <c r="G53" s="44" t="s">
        <v>177</v>
      </c>
      <c r="H53" s="94" t="s">
        <v>155</v>
      </c>
      <c r="I53" s="18">
        <v>2</v>
      </c>
      <c r="J53" s="18">
        <f>0.95*10-5</f>
        <v>4.5</v>
      </c>
      <c r="K53" s="18">
        <f>J53*I53</f>
        <v>9</v>
      </c>
      <c r="L53" s="56">
        <f>95*I53/I$64</f>
        <v>8</v>
      </c>
      <c r="M53" s="44"/>
      <c r="N53" s="18"/>
      <c r="O53" s="18"/>
      <c r="P53" s="18"/>
      <c r="Q53" s="18"/>
      <c r="R53" s="56"/>
      <c r="S53" s="44"/>
      <c r="T53" s="18"/>
      <c r="U53" s="18"/>
      <c r="V53" s="18"/>
      <c r="W53" s="18"/>
      <c r="X53" s="56"/>
    </row>
    <row r="54" spans="1:24" x14ac:dyDescent="0.2">
      <c r="A54" s="44" t="s">
        <v>167</v>
      </c>
      <c r="B54" s="94" t="s">
        <v>154</v>
      </c>
      <c r="C54" s="18">
        <v>1</v>
      </c>
      <c r="D54" s="18">
        <f>0.8*10-5</f>
        <v>3</v>
      </c>
      <c r="E54" s="18">
        <f t="shared" ref="E54:E63" si="13">D54*C54</f>
        <v>3</v>
      </c>
      <c r="F54" s="56">
        <f>80*C54/C$64</f>
        <v>3.1683168316831685</v>
      </c>
      <c r="G54" s="44" t="s">
        <v>178</v>
      </c>
      <c r="H54" s="94">
        <v>90</v>
      </c>
      <c r="I54" s="18">
        <v>0.75</v>
      </c>
      <c r="J54" s="18">
        <f>H54/10-5</f>
        <v>4</v>
      </c>
      <c r="K54" s="18">
        <f t="shared" ref="K54:K62" si="14">J54*I54</f>
        <v>3</v>
      </c>
      <c r="L54" s="56">
        <f t="shared" ref="L54:L62" si="15">H54*I54/I$64</f>
        <v>2.8421052631578947</v>
      </c>
      <c r="M54" s="44"/>
      <c r="N54" s="18"/>
      <c r="O54" s="18"/>
      <c r="P54" s="18"/>
      <c r="Q54" s="18"/>
      <c r="R54" s="56"/>
      <c r="S54" s="44"/>
      <c r="T54" s="18"/>
      <c r="U54" s="18"/>
      <c r="V54" s="18"/>
      <c r="W54" s="18"/>
      <c r="X54" s="56"/>
    </row>
    <row r="55" spans="1:24" x14ac:dyDescent="0.2">
      <c r="A55" s="44" t="s">
        <v>168</v>
      </c>
      <c r="B55" s="94">
        <v>90</v>
      </c>
      <c r="C55" s="18">
        <v>0.75</v>
      </c>
      <c r="D55" s="18">
        <f>B55/10-5</f>
        <v>4</v>
      </c>
      <c r="E55" s="18">
        <f t="shared" si="13"/>
        <v>3</v>
      </c>
      <c r="F55" s="56">
        <f t="shared" ref="F55:F63" si="16">B55*C55/C$64</f>
        <v>2.6732673267326734</v>
      </c>
      <c r="G55" s="44" t="s">
        <v>179</v>
      </c>
      <c r="H55" s="94" t="s">
        <v>156</v>
      </c>
      <c r="I55" s="18">
        <v>1</v>
      </c>
      <c r="J55" s="18">
        <f>0.8*10-5</f>
        <v>3</v>
      </c>
      <c r="K55" s="18">
        <f t="shared" si="14"/>
        <v>3</v>
      </c>
      <c r="L55" s="56">
        <f>85*I55/I$64</f>
        <v>3.5789473684210527</v>
      </c>
      <c r="M55" s="44"/>
      <c r="N55" s="18"/>
      <c r="O55" s="18"/>
      <c r="P55" s="18"/>
      <c r="Q55" s="18"/>
      <c r="R55" s="56"/>
      <c r="S55" s="44"/>
      <c r="T55" s="18"/>
      <c r="U55" s="18"/>
      <c r="V55" s="18"/>
      <c r="W55" s="18"/>
      <c r="X55" s="56"/>
    </row>
    <row r="56" spans="1:24" x14ac:dyDescent="0.2">
      <c r="A56" s="44" t="s">
        <v>169</v>
      </c>
      <c r="B56" s="94" t="s">
        <v>154</v>
      </c>
      <c r="C56" s="18">
        <v>1</v>
      </c>
      <c r="D56" s="18">
        <f>0.8*10-5</f>
        <v>3</v>
      </c>
      <c r="E56" s="18">
        <f t="shared" si="13"/>
        <v>3</v>
      </c>
      <c r="F56" s="56">
        <f>80*C56/C$64</f>
        <v>3.1683168316831685</v>
      </c>
      <c r="G56" s="44" t="s">
        <v>180</v>
      </c>
      <c r="H56" s="94" t="s">
        <v>156</v>
      </c>
      <c r="I56" s="18">
        <v>1</v>
      </c>
      <c r="J56" s="18">
        <f>0.8*10-5</f>
        <v>3</v>
      </c>
      <c r="K56" s="18">
        <f t="shared" si="14"/>
        <v>3</v>
      </c>
      <c r="L56" s="56">
        <f>85*I56/I$64</f>
        <v>3.5789473684210527</v>
      </c>
      <c r="M56" s="44"/>
      <c r="N56" s="18"/>
      <c r="O56" s="18"/>
      <c r="P56" s="18"/>
      <c r="Q56" s="18"/>
      <c r="R56" s="56"/>
      <c r="S56" s="44"/>
      <c r="T56" s="18"/>
      <c r="U56" s="18"/>
      <c r="V56" s="18"/>
      <c r="W56" s="18"/>
      <c r="X56" s="56"/>
    </row>
    <row r="57" spans="1:24" x14ac:dyDescent="0.2">
      <c r="A57" s="44" t="s">
        <v>170</v>
      </c>
      <c r="B57" s="94" t="s">
        <v>155</v>
      </c>
      <c r="C57" s="18">
        <v>1</v>
      </c>
      <c r="D57" s="18">
        <f>0.95*10-5</f>
        <v>4.5</v>
      </c>
      <c r="E57" s="18">
        <f t="shared" si="13"/>
        <v>4.5</v>
      </c>
      <c r="F57" s="56">
        <f>95*C57/C$64</f>
        <v>3.7623762376237622</v>
      </c>
      <c r="G57" s="44" t="s">
        <v>181</v>
      </c>
      <c r="H57" s="94">
        <v>87</v>
      </c>
      <c r="I57" s="18">
        <v>2</v>
      </c>
      <c r="J57" s="18">
        <f t="shared" ref="J57:J62" si="17">H57/10-5</f>
        <v>3.6999999999999993</v>
      </c>
      <c r="K57" s="18">
        <f t="shared" si="14"/>
        <v>7.3999999999999986</v>
      </c>
      <c r="L57" s="56">
        <f t="shared" si="15"/>
        <v>7.3263157894736839</v>
      </c>
      <c r="M57" s="44"/>
      <c r="N57" s="18"/>
      <c r="O57" s="18"/>
      <c r="P57" s="18"/>
      <c r="Q57" s="18"/>
      <c r="R57" s="56"/>
      <c r="S57" s="44"/>
      <c r="T57" s="18"/>
      <c r="U57" s="18"/>
      <c r="V57" s="18"/>
      <c r="W57" s="18"/>
      <c r="X57" s="56"/>
    </row>
    <row r="58" spans="1:24" x14ac:dyDescent="0.2">
      <c r="A58" s="44" t="s">
        <v>171</v>
      </c>
      <c r="B58" s="94" t="s">
        <v>156</v>
      </c>
      <c r="C58" s="18">
        <v>2</v>
      </c>
      <c r="D58" s="18">
        <f>0.85*10-5</f>
        <v>3.5</v>
      </c>
      <c r="E58" s="18">
        <f t="shared" si="13"/>
        <v>7</v>
      </c>
      <c r="F58" s="56">
        <f>85*C58/C$64</f>
        <v>6.7326732673267324</v>
      </c>
      <c r="G58" s="44" t="s">
        <v>182</v>
      </c>
      <c r="H58" s="94">
        <v>95</v>
      </c>
      <c r="I58" s="18">
        <v>5</v>
      </c>
      <c r="J58" s="18">
        <f t="shared" si="17"/>
        <v>4.5</v>
      </c>
      <c r="K58" s="18">
        <f t="shared" si="14"/>
        <v>22.5</v>
      </c>
      <c r="L58" s="56">
        <f t="shared" si="15"/>
        <v>20</v>
      </c>
      <c r="M58" s="44"/>
      <c r="N58" s="18"/>
      <c r="O58" s="18"/>
      <c r="P58" s="18"/>
      <c r="Q58" s="18"/>
      <c r="R58" s="56"/>
      <c r="S58" s="44"/>
      <c r="T58" s="18"/>
      <c r="U58" s="18"/>
      <c r="V58" s="18"/>
      <c r="W58" s="18"/>
      <c r="X58" s="56"/>
    </row>
    <row r="59" spans="1:24" x14ac:dyDescent="0.2">
      <c r="A59" s="44" t="s">
        <v>172</v>
      </c>
      <c r="B59" s="94" t="s">
        <v>155</v>
      </c>
      <c r="C59" s="18">
        <v>2</v>
      </c>
      <c r="D59" s="18">
        <f>0.95*10-5</f>
        <v>4.5</v>
      </c>
      <c r="E59" s="18">
        <f t="shared" si="13"/>
        <v>9</v>
      </c>
      <c r="F59" s="56">
        <f>95*C59/C$64</f>
        <v>7.5247524752475243</v>
      </c>
      <c r="G59" s="44" t="s">
        <v>183</v>
      </c>
      <c r="H59" s="94">
        <v>82</v>
      </c>
      <c r="I59" s="18">
        <v>3</v>
      </c>
      <c r="J59" s="18">
        <f t="shared" si="17"/>
        <v>3.1999999999999993</v>
      </c>
      <c r="K59" s="18">
        <f t="shared" si="14"/>
        <v>9.5999999999999979</v>
      </c>
      <c r="L59" s="56">
        <f t="shared" si="15"/>
        <v>10.357894736842105</v>
      </c>
      <c r="M59" s="44"/>
      <c r="N59" s="18"/>
      <c r="O59" s="18"/>
      <c r="P59" s="18"/>
      <c r="Q59" s="18"/>
      <c r="R59" s="56"/>
      <c r="S59" s="44"/>
      <c r="T59" s="18"/>
      <c r="U59" s="18"/>
      <c r="V59" s="18"/>
      <c r="W59" s="18"/>
      <c r="X59" s="56"/>
    </row>
    <row r="60" spans="1:24" x14ac:dyDescent="0.2">
      <c r="A60" s="44" t="s">
        <v>173</v>
      </c>
      <c r="B60" s="94" t="s">
        <v>157</v>
      </c>
      <c r="C60" s="18">
        <v>2.5</v>
      </c>
      <c r="D60" s="18">
        <f>0.75*10-5</f>
        <v>2.5</v>
      </c>
      <c r="E60" s="18">
        <f t="shared" si="13"/>
        <v>6.25</v>
      </c>
      <c r="F60" s="56">
        <f>75*C60/C$64</f>
        <v>7.4257425742574261</v>
      </c>
      <c r="G60" s="44" t="s">
        <v>184</v>
      </c>
      <c r="H60" s="94">
        <v>93</v>
      </c>
      <c r="I60" s="18">
        <v>4</v>
      </c>
      <c r="J60" s="18">
        <f t="shared" si="17"/>
        <v>4.3000000000000007</v>
      </c>
      <c r="K60" s="18">
        <f t="shared" si="14"/>
        <v>17.200000000000003</v>
      </c>
      <c r="L60" s="56">
        <f t="shared" si="15"/>
        <v>15.663157894736843</v>
      </c>
      <c r="M60" s="44"/>
      <c r="N60" s="18"/>
      <c r="O60" s="18"/>
      <c r="P60" s="18"/>
      <c r="Q60" s="18"/>
      <c r="R60" s="56"/>
      <c r="S60" s="44"/>
      <c r="T60" s="18"/>
      <c r="U60" s="18"/>
      <c r="V60" s="18"/>
      <c r="W60" s="18"/>
      <c r="X60" s="56"/>
    </row>
    <row r="61" spans="1:24" x14ac:dyDescent="0.2">
      <c r="A61" s="44" t="s">
        <v>174</v>
      </c>
      <c r="B61" s="94">
        <v>97</v>
      </c>
      <c r="C61" s="18">
        <v>5</v>
      </c>
      <c r="D61" s="18">
        <f>B61/10-5</f>
        <v>4.6999999999999993</v>
      </c>
      <c r="E61" s="18">
        <f t="shared" si="13"/>
        <v>23.499999999999996</v>
      </c>
      <c r="F61" s="56">
        <f t="shared" si="16"/>
        <v>19.207920792079207</v>
      </c>
      <c r="G61" s="44" t="s">
        <v>185</v>
      </c>
      <c r="H61" s="94">
        <v>88</v>
      </c>
      <c r="I61" s="18">
        <v>2</v>
      </c>
      <c r="J61" s="18">
        <f t="shared" si="17"/>
        <v>3.8000000000000007</v>
      </c>
      <c r="K61" s="18">
        <f t="shared" si="14"/>
        <v>7.6000000000000014</v>
      </c>
      <c r="L61" s="56">
        <f t="shared" si="15"/>
        <v>7.4105263157894736</v>
      </c>
      <c r="M61" s="44"/>
      <c r="N61" s="18"/>
      <c r="O61" s="18"/>
      <c r="P61" s="18"/>
      <c r="Q61" s="18"/>
      <c r="R61" s="56"/>
      <c r="S61" s="44"/>
      <c r="T61" s="18"/>
      <c r="U61" s="18"/>
      <c r="V61" s="18"/>
      <c r="W61" s="18"/>
      <c r="X61" s="56"/>
    </row>
    <row r="62" spans="1:24" x14ac:dyDescent="0.2">
      <c r="A62" s="44" t="s">
        <v>175</v>
      </c>
      <c r="B62" s="94">
        <v>95</v>
      </c>
      <c r="C62" s="18">
        <v>2</v>
      </c>
      <c r="D62" s="18">
        <f>B62/10-5</f>
        <v>4.5</v>
      </c>
      <c r="E62" s="18">
        <f t="shared" si="13"/>
        <v>9</v>
      </c>
      <c r="F62" s="56">
        <f t="shared" si="16"/>
        <v>7.5247524752475243</v>
      </c>
      <c r="G62" s="44" t="s">
        <v>186</v>
      </c>
      <c r="H62" s="94">
        <v>92</v>
      </c>
      <c r="I62" s="18">
        <v>3</v>
      </c>
      <c r="J62" s="18">
        <f t="shared" si="17"/>
        <v>4.1999999999999993</v>
      </c>
      <c r="K62" s="18">
        <f t="shared" si="14"/>
        <v>12.599999999999998</v>
      </c>
      <c r="L62" s="56">
        <f t="shared" si="15"/>
        <v>11.621052631578948</v>
      </c>
      <c r="M62" s="44"/>
      <c r="N62" s="18"/>
      <c r="O62" s="18"/>
      <c r="P62" s="18"/>
      <c r="Q62" s="18"/>
      <c r="R62" s="56"/>
      <c r="S62" s="44"/>
      <c r="T62" s="18"/>
      <c r="U62" s="18"/>
      <c r="V62" s="18"/>
      <c r="W62" s="18"/>
      <c r="X62" s="56"/>
    </row>
    <row r="63" spans="1:24" x14ac:dyDescent="0.2">
      <c r="A63" s="44" t="s">
        <v>176</v>
      </c>
      <c r="B63" s="94">
        <v>87</v>
      </c>
      <c r="C63" s="18">
        <v>4</v>
      </c>
      <c r="D63" s="18">
        <f>B63/10-5</f>
        <v>3.6999999999999993</v>
      </c>
      <c r="E63" s="18">
        <f t="shared" si="13"/>
        <v>14.799999999999997</v>
      </c>
      <c r="F63" s="56">
        <f t="shared" si="16"/>
        <v>13.782178217821782</v>
      </c>
      <c r="G63" s="44"/>
      <c r="H63" s="18"/>
      <c r="I63" s="18"/>
      <c r="J63" s="18"/>
      <c r="K63" s="18"/>
      <c r="L63" s="56"/>
      <c r="M63" s="44"/>
      <c r="N63" s="18"/>
      <c r="O63" s="18"/>
      <c r="P63" s="18"/>
      <c r="Q63" s="18"/>
      <c r="R63" s="56"/>
      <c r="S63" s="44"/>
      <c r="T63" s="18"/>
      <c r="U63" s="18"/>
      <c r="V63" s="18"/>
      <c r="W63" s="18"/>
      <c r="X63" s="56"/>
    </row>
    <row r="64" spans="1:24" x14ac:dyDescent="0.2">
      <c r="A64" s="44"/>
      <c r="B64" s="18" t="s">
        <v>164</v>
      </c>
      <c r="C64" s="85">
        <f>SUM(C53:C63)</f>
        <v>25.25</v>
      </c>
      <c r="D64" s="18"/>
      <c r="E64" s="87">
        <f>SUM(E53:E63)</f>
        <v>100.25</v>
      </c>
      <c r="F64" s="56">
        <f>SUM(F53:F63)</f>
        <v>89.702970297029694</v>
      </c>
      <c r="G64" s="44"/>
      <c r="H64" s="18" t="s">
        <v>165</v>
      </c>
      <c r="I64" s="85">
        <f>SUM(I53:I62)</f>
        <v>23.75</v>
      </c>
      <c r="J64" s="18"/>
      <c r="K64" s="87">
        <f>SUM(K53:K62)</f>
        <v>94.9</v>
      </c>
      <c r="L64" s="56">
        <f>SUM(L53:L62)</f>
        <v>90.378947368421052</v>
      </c>
      <c r="M64" s="44"/>
      <c r="N64" s="18" t="s">
        <v>205</v>
      </c>
      <c r="O64" s="85">
        <f>C31+D31+E31+F31+G31+H31+I31+X31</f>
        <v>19.75</v>
      </c>
      <c r="P64" s="18"/>
      <c r="Q64" s="107">
        <f>SUM(C36:I36)+X36</f>
        <v>89.8</v>
      </c>
      <c r="R64" s="108">
        <f>SUM(C34:I34)+X34</f>
        <v>95.468354430379762</v>
      </c>
      <c r="S64" s="44"/>
      <c r="T64" s="18" t="s">
        <v>206</v>
      </c>
      <c r="U64" s="85">
        <f>L31+M31+N31+O31+P31+Q31+S31+T31+U31+V31+W31</f>
        <v>26.25</v>
      </c>
      <c r="V64" s="18"/>
      <c r="W64" s="107">
        <f>SUM(L36:T36)+U36+V36+W36</f>
        <v>106.1</v>
      </c>
      <c r="X64" s="108">
        <f>SUM(L34:T34)+U34+V34+W34</f>
        <v>90.419047619047632</v>
      </c>
    </row>
    <row r="65" spans="1:24" x14ac:dyDescent="0.2">
      <c r="A65" s="51"/>
      <c r="B65" s="52"/>
      <c r="C65" s="95" t="s">
        <v>132</v>
      </c>
      <c r="D65" s="96"/>
      <c r="E65" s="97" t="s">
        <v>201</v>
      </c>
      <c r="F65" s="98" t="s">
        <v>235</v>
      </c>
      <c r="G65" s="51"/>
      <c r="H65" s="52"/>
      <c r="I65" s="95" t="s">
        <v>132</v>
      </c>
      <c r="J65" s="96"/>
      <c r="K65" s="97" t="s">
        <v>201</v>
      </c>
      <c r="L65" s="98" t="s">
        <v>235</v>
      </c>
      <c r="M65" s="51"/>
      <c r="N65" s="52"/>
      <c r="O65" s="95" t="s">
        <v>132</v>
      </c>
      <c r="P65" s="52"/>
      <c r="Q65" s="97" t="s">
        <v>208</v>
      </c>
      <c r="R65" s="98" t="s">
        <v>235</v>
      </c>
      <c r="S65" s="51"/>
      <c r="T65" s="52"/>
      <c r="U65" s="95" t="s">
        <v>132</v>
      </c>
      <c r="V65" s="52"/>
      <c r="W65" s="97" t="s">
        <v>207</v>
      </c>
      <c r="X65" s="98" t="s">
        <v>235</v>
      </c>
    </row>
    <row r="66" spans="1:24" ht="15" thickBot="1" x14ac:dyDescent="0.25"/>
    <row r="67" spans="1:24" x14ac:dyDescent="0.2">
      <c r="A67" s="13" t="s">
        <v>221</v>
      </c>
      <c r="B67" s="14"/>
      <c r="C67" s="15" t="s">
        <v>202</v>
      </c>
      <c r="D67" s="15" t="s">
        <v>204</v>
      </c>
      <c r="E67" s="15" t="s">
        <v>203</v>
      </c>
      <c r="F67" s="15" t="s">
        <v>212</v>
      </c>
      <c r="G67" s="15" t="s">
        <v>209</v>
      </c>
      <c r="H67" s="15" t="s">
        <v>213</v>
      </c>
      <c r="I67" s="15" t="s">
        <v>247</v>
      </c>
      <c r="J67" s="15" t="s">
        <v>211</v>
      </c>
      <c r="K67" s="15" t="s">
        <v>210</v>
      </c>
      <c r="L67" s="15" t="s">
        <v>214</v>
      </c>
      <c r="M67" s="16" t="s">
        <v>217</v>
      </c>
      <c r="N67" s="39" t="s">
        <v>265</v>
      </c>
    </row>
    <row r="68" spans="1:24" x14ac:dyDescent="0.2">
      <c r="A68" s="17" t="s">
        <v>196</v>
      </c>
      <c r="B68" s="18"/>
      <c r="C68" s="19">
        <f>H68/F68</f>
        <v>3.9702970297029703</v>
      </c>
      <c r="D68" s="20">
        <f>(H68+H69)/(F68+F69)</f>
        <v>3.9826530612244899</v>
      </c>
      <c r="E68" s="19">
        <f>I68/G68</f>
        <v>3.9702970297029703</v>
      </c>
      <c r="F68" s="21">
        <f>C$64</f>
        <v>25.25</v>
      </c>
      <c r="G68" s="19">
        <f>F68</f>
        <v>25.25</v>
      </c>
      <c r="H68" s="22">
        <f>E$64</f>
        <v>100.25</v>
      </c>
      <c r="I68" s="19">
        <f>H68</f>
        <v>100.25</v>
      </c>
      <c r="J68" s="19">
        <v>11</v>
      </c>
      <c r="K68" s="19">
        <v>11</v>
      </c>
      <c r="L68" s="18"/>
      <c r="M68" s="23"/>
    </row>
    <row r="69" spans="1:24" x14ac:dyDescent="0.2">
      <c r="A69" s="17" t="s">
        <v>199</v>
      </c>
      <c r="B69" s="18"/>
      <c r="C69" s="19">
        <f t="shared" ref="C69:C73" si="18">H69/F69</f>
        <v>3.9957894736842108</v>
      </c>
      <c r="D69" s="20"/>
      <c r="E69" s="19">
        <f t="shared" ref="E69:E72" si="19">I69/G69</f>
        <v>3.9826530612244899</v>
      </c>
      <c r="F69" s="21">
        <f>I$64</f>
        <v>23.75</v>
      </c>
      <c r="G69" s="19">
        <f>G68+F69</f>
        <v>49</v>
      </c>
      <c r="H69" s="22">
        <f>K$64</f>
        <v>94.9</v>
      </c>
      <c r="I69" s="19">
        <f>I68+H69</f>
        <v>195.15</v>
      </c>
      <c r="J69" s="19">
        <v>10</v>
      </c>
      <c r="K69" s="19">
        <f>K68+J69</f>
        <v>21</v>
      </c>
      <c r="L69" s="18" t="s">
        <v>177</v>
      </c>
      <c r="M69" s="23">
        <v>2</v>
      </c>
    </row>
    <row r="70" spans="1:24" x14ac:dyDescent="0.2">
      <c r="A70" s="17" t="s">
        <v>197</v>
      </c>
      <c r="B70" s="18"/>
      <c r="C70" s="19">
        <f t="shared" si="18"/>
        <v>4.5468354430379749</v>
      </c>
      <c r="D70" s="20">
        <f>(H70+H71)/(F70+F71)</f>
        <v>4.2586956521739125</v>
      </c>
      <c r="E70" s="19">
        <f t="shared" si="19"/>
        <v>4.1447272727272724</v>
      </c>
      <c r="F70" s="21">
        <f>O$64</f>
        <v>19.75</v>
      </c>
      <c r="G70" s="19">
        <f t="shared" ref="G70:G72" si="20">G69+F70</f>
        <v>68.75</v>
      </c>
      <c r="H70" s="24">
        <f>Q$64</f>
        <v>89.8</v>
      </c>
      <c r="I70" s="19">
        <f t="shared" ref="I70:I73" si="21">I69+H70</f>
        <v>284.95</v>
      </c>
      <c r="J70" s="19">
        <v>8</v>
      </c>
      <c r="K70" s="19">
        <f t="shared" ref="K70:K73" si="22">K69+J70</f>
        <v>29</v>
      </c>
      <c r="L70" s="18" t="s">
        <v>215</v>
      </c>
      <c r="M70" s="23">
        <v>2</v>
      </c>
    </row>
    <row r="71" spans="1:24" x14ac:dyDescent="0.2">
      <c r="A71" s="17" t="s">
        <v>200</v>
      </c>
      <c r="B71" s="18"/>
      <c r="C71" s="19">
        <f t="shared" si="18"/>
        <v>4.0419047619047621</v>
      </c>
      <c r="D71" s="20"/>
      <c r="E71" s="19">
        <f t="shared" si="19"/>
        <v>4.1163157894736839</v>
      </c>
      <c r="F71" s="21">
        <f>U$64</f>
        <v>26.25</v>
      </c>
      <c r="G71" s="19">
        <f t="shared" si="20"/>
        <v>95</v>
      </c>
      <c r="H71" s="24">
        <f>W$64</f>
        <v>106.1</v>
      </c>
      <c r="I71" s="19">
        <f t="shared" si="21"/>
        <v>391.04999999999995</v>
      </c>
      <c r="J71" s="19">
        <v>11</v>
      </c>
      <c r="K71" s="19">
        <f t="shared" si="22"/>
        <v>40</v>
      </c>
      <c r="L71" s="18" t="s">
        <v>216</v>
      </c>
      <c r="M71" s="23">
        <v>2</v>
      </c>
    </row>
    <row r="72" spans="1:24" x14ac:dyDescent="0.2">
      <c r="A72" s="17" t="s">
        <v>198</v>
      </c>
      <c r="B72" s="18"/>
      <c r="C72" s="19">
        <f>H72/F72</f>
        <v>4.5727272727272723</v>
      </c>
      <c r="D72" s="20">
        <f>(H72+H73)/(F72+F73)</f>
        <v>4.2620689655172406</v>
      </c>
      <c r="E72" s="19">
        <f>I72/G72</f>
        <v>4.2021367521367523</v>
      </c>
      <c r="F72" s="21">
        <f>B$40</f>
        <v>22</v>
      </c>
      <c r="G72" s="19">
        <f>G71+F72</f>
        <v>117</v>
      </c>
      <c r="H72" s="22">
        <f>B$42</f>
        <v>100.6</v>
      </c>
      <c r="I72" s="19">
        <f t="shared" si="21"/>
        <v>491.65</v>
      </c>
      <c r="J72" s="19">
        <v>9</v>
      </c>
      <c r="K72" s="19">
        <f t="shared" si="22"/>
        <v>49</v>
      </c>
      <c r="L72" s="18"/>
      <c r="M72" s="23"/>
    </row>
    <row r="73" spans="1:24" x14ac:dyDescent="0.2">
      <c r="A73" s="17" t="s">
        <v>223</v>
      </c>
      <c r="B73" s="18"/>
      <c r="C73" s="19">
        <f>H73/F73</f>
        <v>3.9441860465116272</v>
      </c>
      <c r="D73" s="20"/>
      <c r="E73" s="19">
        <f>I73/G73</f>
        <v>4.1620938628158841</v>
      </c>
      <c r="F73" s="21">
        <f>P40</f>
        <v>21.5</v>
      </c>
      <c r="G73" s="19">
        <f>G72+F73</f>
        <v>138.5</v>
      </c>
      <c r="H73" s="22">
        <f>P42</f>
        <v>84.799999999999983</v>
      </c>
      <c r="I73" s="19">
        <f t="shared" si="21"/>
        <v>576.44999999999993</v>
      </c>
      <c r="J73" s="19">
        <v>8</v>
      </c>
      <c r="K73" s="19">
        <f t="shared" si="22"/>
        <v>57</v>
      </c>
      <c r="L73" s="18"/>
      <c r="M73" s="23"/>
    </row>
    <row r="74" spans="1:24" x14ac:dyDescent="0.2">
      <c r="A74" s="17" t="s">
        <v>224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3"/>
    </row>
    <row r="75" spans="1:24" x14ac:dyDescent="0.2">
      <c r="A75" s="17" t="s">
        <v>225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3"/>
    </row>
    <row r="76" spans="1:24" x14ac:dyDescent="0.2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3"/>
    </row>
    <row r="77" spans="1:24" x14ac:dyDescent="0.2">
      <c r="A77" s="25" t="s">
        <v>222</v>
      </c>
      <c r="B77" s="18"/>
      <c r="C77" s="26" t="s">
        <v>202</v>
      </c>
      <c r="D77" s="26" t="s">
        <v>204</v>
      </c>
      <c r="E77" s="26" t="s">
        <v>203</v>
      </c>
      <c r="F77" s="26" t="s">
        <v>212</v>
      </c>
      <c r="G77" s="26" t="s">
        <v>209</v>
      </c>
      <c r="H77" s="26" t="s">
        <v>213</v>
      </c>
      <c r="I77" s="26" t="s">
        <v>247</v>
      </c>
      <c r="J77" s="18"/>
      <c r="K77" s="18"/>
      <c r="L77" s="18"/>
      <c r="M77" s="23"/>
    </row>
    <row r="78" spans="1:24" x14ac:dyDescent="0.2">
      <c r="A78" s="17" t="s">
        <v>196</v>
      </c>
      <c r="B78" s="18"/>
      <c r="C78" s="19">
        <f>H78/F78</f>
        <v>4.0091743119266052</v>
      </c>
      <c r="D78" s="20">
        <f>(H78+H79)/(F78+F79)</f>
        <v>4.0029411764705882</v>
      </c>
      <c r="E78" s="19">
        <f>I78/G78</f>
        <v>4.0091743119266052</v>
      </c>
      <c r="F78" s="21">
        <f>C$64+L$79</f>
        <v>27.25</v>
      </c>
      <c r="G78" s="19">
        <f>F78</f>
        <v>27.25</v>
      </c>
      <c r="H78" s="22">
        <f>E$64+L$82</f>
        <v>109.25</v>
      </c>
      <c r="I78" s="19">
        <f>H78</f>
        <v>109.25</v>
      </c>
      <c r="J78" s="18"/>
      <c r="K78" s="18"/>
      <c r="L78" s="18"/>
      <c r="M78" s="23"/>
    </row>
    <row r="79" spans="1:24" x14ac:dyDescent="0.2">
      <c r="A79" s="17" t="s">
        <v>199</v>
      </c>
      <c r="B79" s="18"/>
      <c r="C79" s="19">
        <f t="shared" ref="C79:C82" si="23">H79/F79</f>
        <v>3.9957894736842108</v>
      </c>
      <c r="D79" s="20"/>
      <c r="E79" s="19">
        <f t="shared" ref="E79:E82" si="24">I79/G79</f>
        <v>4.0029411764705882</v>
      </c>
      <c r="F79" s="21">
        <f>I$64</f>
        <v>23.75</v>
      </c>
      <c r="G79" s="19">
        <f>G78+F79</f>
        <v>51</v>
      </c>
      <c r="H79" s="22">
        <f>K$64</f>
        <v>94.9</v>
      </c>
      <c r="I79" s="19">
        <f>I78+H79</f>
        <v>204.15</v>
      </c>
      <c r="J79" s="18"/>
      <c r="K79" s="27" t="s">
        <v>220</v>
      </c>
      <c r="L79" s="28">
        <v>2</v>
      </c>
      <c r="M79" s="23"/>
    </row>
    <row r="80" spans="1:24" x14ac:dyDescent="0.2">
      <c r="A80" s="17" t="s">
        <v>197</v>
      </c>
      <c r="B80" s="18"/>
      <c r="C80" s="19">
        <f t="shared" si="23"/>
        <v>4.5468354430379749</v>
      </c>
      <c r="D80" s="29">
        <f>(H80+H81)/(F80+F81)</f>
        <v>4.2586956521739125</v>
      </c>
      <c r="E80" s="19">
        <f t="shared" si="24"/>
        <v>4.1547703180212014</v>
      </c>
      <c r="F80" s="21">
        <f>O$64</f>
        <v>19.75</v>
      </c>
      <c r="G80" s="19">
        <f t="shared" ref="G80:G83" si="25">G79+F80</f>
        <v>70.75</v>
      </c>
      <c r="H80" s="24">
        <f>Q$64</f>
        <v>89.8</v>
      </c>
      <c r="I80" s="19">
        <f t="shared" ref="I80:I82" si="26">I79+H80</f>
        <v>293.95</v>
      </c>
      <c r="J80" s="18"/>
      <c r="K80" s="27" t="s">
        <v>219</v>
      </c>
      <c r="L80" s="28">
        <v>95</v>
      </c>
      <c r="M80" s="23"/>
    </row>
    <row r="81" spans="1:13" x14ac:dyDescent="0.2">
      <c r="A81" s="17" t="s">
        <v>200</v>
      </c>
      <c r="B81" s="18"/>
      <c r="C81" s="19">
        <f t="shared" si="23"/>
        <v>4.0419047619047621</v>
      </c>
      <c r="D81" s="20"/>
      <c r="E81" s="19">
        <f t="shared" si="24"/>
        <v>4.1242268041237109</v>
      </c>
      <c r="F81" s="21">
        <f>U$64</f>
        <v>26.25</v>
      </c>
      <c r="G81" s="19">
        <f t="shared" si="25"/>
        <v>97</v>
      </c>
      <c r="H81" s="24">
        <f>W$64</f>
        <v>106.1</v>
      </c>
      <c r="I81" s="19">
        <f t="shared" si="26"/>
        <v>400.04999999999995</v>
      </c>
      <c r="J81" s="18"/>
      <c r="K81" s="27" t="s">
        <v>227</v>
      </c>
      <c r="L81" s="28">
        <f>L80/10-5</f>
        <v>4.5</v>
      </c>
      <c r="M81" s="23"/>
    </row>
    <row r="82" spans="1:13" x14ac:dyDescent="0.2">
      <c r="A82" s="17" t="s">
        <v>198</v>
      </c>
      <c r="B82" s="18"/>
      <c r="C82" s="19">
        <f>H82/F82</f>
        <v>4.5727272727272723</v>
      </c>
      <c r="D82" s="29">
        <f>(H82+H83)/(F82+F83)</f>
        <v>4.2620689655172406</v>
      </c>
      <c r="E82" s="19">
        <f>I82/G82</f>
        <v>4.2071428571428573</v>
      </c>
      <c r="F82" s="21">
        <f>B$40</f>
        <v>22</v>
      </c>
      <c r="G82" s="19">
        <f t="shared" si="25"/>
        <v>119</v>
      </c>
      <c r="H82" s="22">
        <f>B$42</f>
        <v>100.6</v>
      </c>
      <c r="I82" s="19">
        <f>I81+H82</f>
        <v>500.65</v>
      </c>
      <c r="J82" s="18"/>
      <c r="K82" s="27" t="s">
        <v>218</v>
      </c>
      <c r="L82" s="28">
        <f>L81*L79</f>
        <v>9</v>
      </c>
      <c r="M82" s="23"/>
    </row>
    <row r="83" spans="1:13" x14ac:dyDescent="0.2">
      <c r="A83" s="17" t="s">
        <v>223</v>
      </c>
      <c r="B83" s="18"/>
      <c r="C83" s="19">
        <f>H83/F83</f>
        <v>3.9441860465116272</v>
      </c>
      <c r="D83" s="20"/>
      <c r="E83" s="19">
        <f>I83/G83</f>
        <v>4.1669039145907467</v>
      </c>
      <c r="F83" s="21">
        <f>P40</f>
        <v>21.5</v>
      </c>
      <c r="G83" s="19">
        <f t="shared" si="25"/>
        <v>140.5</v>
      </c>
      <c r="H83" s="22">
        <f>P42</f>
        <v>84.799999999999983</v>
      </c>
      <c r="I83" s="19">
        <f>I82+H83</f>
        <v>585.44999999999993</v>
      </c>
      <c r="J83" s="18"/>
      <c r="K83" s="18"/>
      <c r="L83" s="18"/>
      <c r="M83" s="23"/>
    </row>
    <row r="84" spans="1:13" x14ac:dyDescent="0.2">
      <c r="A84" s="17" t="s">
        <v>224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3"/>
    </row>
    <row r="85" spans="1:13" ht="15" thickBot="1" x14ac:dyDescent="0.25">
      <c r="A85" s="30" t="s">
        <v>225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2"/>
    </row>
    <row r="86" spans="1:13" ht="15" thickBot="1" x14ac:dyDescent="0.25"/>
    <row r="87" spans="1:13" x14ac:dyDescent="0.2">
      <c r="A87" s="13" t="s">
        <v>221</v>
      </c>
      <c r="B87" s="14"/>
      <c r="C87" s="15" t="s">
        <v>202</v>
      </c>
      <c r="D87" s="15" t="s">
        <v>204</v>
      </c>
      <c r="E87" s="15" t="s">
        <v>203</v>
      </c>
      <c r="F87" s="15" t="s">
        <v>212</v>
      </c>
      <c r="G87" s="15" t="s">
        <v>132</v>
      </c>
      <c r="H87" s="15" t="s">
        <v>246</v>
      </c>
      <c r="I87" s="15" t="s">
        <v>249</v>
      </c>
      <c r="J87" s="14"/>
      <c r="K87" s="14"/>
      <c r="L87" s="33"/>
      <c r="M87" s="40" t="s">
        <v>266</v>
      </c>
    </row>
    <row r="88" spans="1:13" x14ac:dyDescent="0.2">
      <c r="A88" s="17" t="s">
        <v>238</v>
      </c>
      <c r="B88" s="18"/>
      <c r="C88" s="19">
        <f>F$64</f>
        <v>89.702970297029694</v>
      </c>
      <c r="D88" s="20">
        <f>(H88+H89)/(F88+F89)</f>
        <v>90.030612244897952</v>
      </c>
      <c r="E88" s="19">
        <f>I88/G88</f>
        <v>89.70297029702968</v>
      </c>
      <c r="F88" s="21">
        <f>C$64</f>
        <v>25.25</v>
      </c>
      <c r="G88" s="19">
        <f>F88</f>
        <v>25.25</v>
      </c>
      <c r="H88" s="19">
        <f>C88*F88</f>
        <v>2264.9999999999995</v>
      </c>
      <c r="I88" s="19">
        <f>H88</f>
        <v>2264.9999999999995</v>
      </c>
      <c r="J88" s="18"/>
      <c r="K88" s="18"/>
      <c r="L88" s="23"/>
    </row>
    <row r="89" spans="1:13" x14ac:dyDescent="0.2">
      <c r="A89" s="17" t="s">
        <v>239</v>
      </c>
      <c r="B89" s="18"/>
      <c r="C89" s="19">
        <f>L$64</f>
        <v>90.378947368421052</v>
      </c>
      <c r="D89" s="20"/>
      <c r="E89" s="19">
        <f t="shared" ref="E89:E92" si="27">I89/G89</f>
        <v>90.030612244897952</v>
      </c>
      <c r="F89" s="21">
        <f>I$64</f>
        <v>23.75</v>
      </c>
      <c r="G89" s="19">
        <f>G88+F89</f>
        <v>49</v>
      </c>
      <c r="H89" s="19">
        <f t="shared" ref="H89:H92" si="28">C89*F89</f>
        <v>2146.5</v>
      </c>
      <c r="I89" s="19">
        <f>I88+H89</f>
        <v>4411.5</v>
      </c>
      <c r="J89" s="18"/>
      <c r="K89" s="18"/>
      <c r="L89" s="23"/>
    </row>
    <row r="90" spans="1:13" x14ac:dyDescent="0.2">
      <c r="A90" s="17" t="s">
        <v>240</v>
      </c>
      <c r="B90" s="18"/>
      <c r="C90" s="34">
        <f>R$64</f>
        <v>95.468354430379762</v>
      </c>
      <c r="D90" s="20">
        <f>(H90+H91)/(F90+F91)</f>
        <v>92.586956521739154</v>
      </c>
      <c r="E90" s="19">
        <f t="shared" si="27"/>
        <v>91.592727272727274</v>
      </c>
      <c r="F90" s="21">
        <f>O$64</f>
        <v>19.75</v>
      </c>
      <c r="G90" s="19">
        <f t="shared" ref="G90:G92" si="29">G89+F90</f>
        <v>68.75</v>
      </c>
      <c r="H90" s="19">
        <f t="shared" si="28"/>
        <v>1885.5000000000002</v>
      </c>
      <c r="I90" s="19">
        <f t="shared" ref="I90:I93" si="30">I89+H90</f>
        <v>6297</v>
      </c>
      <c r="J90" s="18"/>
      <c r="K90" s="18"/>
      <c r="L90" s="23"/>
    </row>
    <row r="91" spans="1:13" x14ac:dyDescent="0.2">
      <c r="A91" s="17" t="s">
        <v>241</v>
      </c>
      <c r="B91" s="18"/>
      <c r="C91" s="34">
        <f>X$64</f>
        <v>90.419047619047632</v>
      </c>
      <c r="D91" s="20"/>
      <c r="E91" s="19">
        <f t="shared" si="27"/>
        <v>91.268421052631581</v>
      </c>
      <c r="F91" s="21">
        <f>U$64</f>
        <v>26.25</v>
      </c>
      <c r="G91" s="19">
        <f t="shared" si="29"/>
        <v>95</v>
      </c>
      <c r="H91" s="19">
        <f t="shared" si="28"/>
        <v>2373.5000000000005</v>
      </c>
      <c r="I91" s="19">
        <f>I90+H91</f>
        <v>8670.5</v>
      </c>
      <c r="J91" s="18"/>
      <c r="K91" s="18"/>
      <c r="L91" s="23"/>
    </row>
    <row r="92" spans="1:13" x14ac:dyDescent="0.2">
      <c r="A92" s="17" t="s">
        <v>242</v>
      </c>
      <c r="B92" s="18"/>
      <c r="C92" s="19">
        <f>B$43</f>
        <v>95.72727272727272</v>
      </c>
      <c r="D92" s="20">
        <f>(H92+H93)/(F92+F93)</f>
        <v>92.620689655172413</v>
      </c>
      <c r="E92" s="19">
        <f>I92/G92</f>
        <v>92.106837606837601</v>
      </c>
      <c r="F92" s="21">
        <f>B$40</f>
        <v>22</v>
      </c>
      <c r="G92" s="19">
        <f>G91+F92</f>
        <v>117</v>
      </c>
      <c r="H92" s="19">
        <f>C92*F92</f>
        <v>2106</v>
      </c>
      <c r="I92" s="19">
        <f>I91+H92</f>
        <v>10776.5</v>
      </c>
      <c r="J92" s="18"/>
      <c r="K92" s="18"/>
      <c r="L92" s="23"/>
    </row>
    <row r="93" spans="1:13" x14ac:dyDescent="0.2">
      <c r="A93" s="17" t="s">
        <v>243</v>
      </c>
      <c r="B93" s="18"/>
      <c r="C93" s="18">
        <f>P43</f>
        <v>89.441860465116278</v>
      </c>
      <c r="D93" s="20"/>
      <c r="E93" s="19">
        <f>I93/G93</f>
        <v>91.693140794223822</v>
      </c>
      <c r="F93" s="21">
        <f>P40</f>
        <v>21.5</v>
      </c>
      <c r="G93" s="19">
        <f>G92+F93</f>
        <v>138.5</v>
      </c>
      <c r="H93" s="19">
        <f>C93*F93</f>
        <v>1923</v>
      </c>
      <c r="I93" s="19">
        <f t="shared" si="30"/>
        <v>12699.5</v>
      </c>
      <c r="J93" s="18"/>
      <c r="K93" s="18"/>
      <c r="L93" s="23"/>
    </row>
    <row r="94" spans="1:13" x14ac:dyDescent="0.2">
      <c r="A94" s="17" t="s">
        <v>244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3"/>
    </row>
    <row r="95" spans="1:13" x14ac:dyDescent="0.2">
      <c r="A95" s="17" t="s">
        <v>245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3"/>
    </row>
    <row r="96" spans="1:13" x14ac:dyDescent="0.2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3"/>
    </row>
    <row r="97" spans="1:12" x14ac:dyDescent="0.2">
      <c r="A97" s="35" t="s">
        <v>222</v>
      </c>
      <c r="B97" s="36"/>
      <c r="C97" s="26" t="s">
        <v>202</v>
      </c>
      <c r="D97" s="26" t="s">
        <v>204</v>
      </c>
      <c r="E97" s="26" t="s">
        <v>203</v>
      </c>
      <c r="F97" s="26" t="s">
        <v>212</v>
      </c>
      <c r="G97" s="26" t="s">
        <v>132</v>
      </c>
      <c r="H97" s="26" t="s">
        <v>246</v>
      </c>
      <c r="I97" s="26" t="s">
        <v>248</v>
      </c>
      <c r="J97" s="18"/>
      <c r="K97" s="18"/>
      <c r="L97" s="23"/>
    </row>
    <row r="98" spans="1:12" x14ac:dyDescent="0.2">
      <c r="A98" s="17" t="s">
        <v>238</v>
      </c>
      <c r="B98" s="18"/>
      <c r="C98" s="19">
        <f>F$64</f>
        <v>89.702970297029694</v>
      </c>
      <c r="D98" s="20">
        <f>(H98+H99)/(F98+F99)</f>
        <v>90.225490196078425</v>
      </c>
      <c r="E98" s="19">
        <f>I98/G98</f>
        <v>90.091743119266042</v>
      </c>
      <c r="F98" s="21">
        <f>C$64+L$79</f>
        <v>27.25</v>
      </c>
      <c r="G98" s="19">
        <f>F98</f>
        <v>27.25</v>
      </c>
      <c r="H98" s="19">
        <f>C98*(F98-2)+L$79*L$80</f>
        <v>2454.9999999999995</v>
      </c>
      <c r="I98" s="19">
        <f>H98</f>
        <v>2454.9999999999995</v>
      </c>
      <c r="J98" s="18"/>
      <c r="K98" s="18"/>
      <c r="L98" s="23"/>
    </row>
    <row r="99" spans="1:12" x14ac:dyDescent="0.2">
      <c r="A99" s="17" t="s">
        <v>239</v>
      </c>
      <c r="B99" s="18"/>
      <c r="C99" s="19">
        <f>L$64</f>
        <v>90.378947368421052</v>
      </c>
      <c r="D99" s="20"/>
      <c r="E99" s="19">
        <f t="shared" ref="E99:E103" si="31">I99/G99</f>
        <v>90.225490196078425</v>
      </c>
      <c r="F99" s="21">
        <f>I$64</f>
        <v>23.75</v>
      </c>
      <c r="G99" s="19">
        <f>G98+F99</f>
        <v>51</v>
      </c>
      <c r="H99" s="19">
        <f t="shared" ref="H99:H103" si="32">C99*F99</f>
        <v>2146.5</v>
      </c>
      <c r="I99" s="19">
        <f>I98+H99</f>
        <v>4601.5</v>
      </c>
      <c r="J99" s="18"/>
      <c r="K99" s="27"/>
      <c r="L99" s="37"/>
    </row>
    <row r="100" spans="1:12" x14ac:dyDescent="0.2">
      <c r="A100" s="17" t="s">
        <v>240</v>
      </c>
      <c r="B100" s="18"/>
      <c r="C100" s="34">
        <f>R$64</f>
        <v>95.468354430379762</v>
      </c>
      <c r="D100" s="20">
        <f>(H100+H101)/(F100+F101)</f>
        <v>92.586956521739154</v>
      </c>
      <c r="E100" s="19">
        <f t="shared" si="31"/>
        <v>91.689045936395758</v>
      </c>
      <c r="F100" s="21">
        <f>O$64</f>
        <v>19.75</v>
      </c>
      <c r="G100" s="19">
        <f t="shared" ref="G100:G103" si="33">G99+F100</f>
        <v>70.75</v>
      </c>
      <c r="H100" s="19">
        <f t="shared" si="32"/>
        <v>1885.5000000000002</v>
      </c>
      <c r="I100" s="19">
        <f t="shared" ref="I100:I103" si="34">I99+H100</f>
        <v>6487</v>
      </c>
      <c r="J100" s="18"/>
      <c r="K100" s="27"/>
      <c r="L100" s="37"/>
    </row>
    <row r="101" spans="1:12" x14ac:dyDescent="0.2">
      <c r="A101" s="17" t="s">
        <v>241</v>
      </c>
      <c r="B101" s="18"/>
      <c r="C101" s="34">
        <f>X$64</f>
        <v>90.419047619047632</v>
      </c>
      <c r="D101" s="20"/>
      <c r="E101" s="19">
        <f t="shared" si="31"/>
        <v>91.345360824742272</v>
      </c>
      <c r="F101" s="21">
        <f>U$64</f>
        <v>26.25</v>
      </c>
      <c r="G101" s="19">
        <f t="shared" si="33"/>
        <v>97</v>
      </c>
      <c r="H101" s="19">
        <f t="shared" si="32"/>
        <v>2373.5000000000005</v>
      </c>
      <c r="I101" s="19">
        <f t="shared" si="34"/>
        <v>8860.5</v>
      </c>
      <c r="J101" s="18"/>
      <c r="K101" s="27"/>
      <c r="L101" s="37"/>
    </row>
    <row r="102" spans="1:12" x14ac:dyDescent="0.2">
      <c r="A102" s="17" t="s">
        <v>242</v>
      </c>
      <c r="B102" s="18"/>
      <c r="C102" s="19">
        <f>B$43</f>
        <v>95.72727272727272</v>
      </c>
      <c r="D102" s="20">
        <f>(H102+H103)/(F102+F103)</f>
        <v>92.620689655172413</v>
      </c>
      <c r="E102" s="19">
        <f t="shared" si="31"/>
        <v>92.155462184873954</v>
      </c>
      <c r="F102" s="21">
        <f>B$40</f>
        <v>22</v>
      </c>
      <c r="G102" s="19">
        <f t="shared" si="33"/>
        <v>119</v>
      </c>
      <c r="H102" s="19">
        <f t="shared" si="32"/>
        <v>2106</v>
      </c>
      <c r="I102" s="19">
        <f t="shared" si="34"/>
        <v>10966.5</v>
      </c>
      <c r="J102" s="18"/>
      <c r="K102" s="27"/>
      <c r="L102" s="37"/>
    </row>
    <row r="103" spans="1:12" x14ac:dyDescent="0.2">
      <c r="A103" s="17" t="s">
        <v>243</v>
      </c>
      <c r="B103" s="18"/>
      <c r="C103" s="18">
        <f>P43</f>
        <v>89.441860465116278</v>
      </c>
      <c r="D103" s="20"/>
      <c r="E103" s="19">
        <f>I103/G103</f>
        <v>91.740213523131672</v>
      </c>
      <c r="F103" s="21">
        <f>P40</f>
        <v>21.5</v>
      </c>
      <c r="G103" s="19">
        <f>G102+F103</f>
        <v>140.5</v>
      </c>
      <c r="H103" s="19">
        <f t="shared" si="32"/>
        <v>1923</v>
      </c>
      <c r="I103" s="19">
        <f t="shared" si="34"/>
        <v>12889.5</v>
      </c>
      <c r="J103" s="18"/>
      <c r="K103" s="18"/>
      <c r="L103" s="23"/>
    </row>
    <row r="104" spans="1:12" x14ac:dyDescent="0.2">
      <c r="A104" s="17" t="s">
        <v>244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27" t="s">
        <v>264</v>
      </c>
      <c r="L104" s="38">
        <f>(H102+H103+85*2.5)/(F102+F103+2.5)</f>
        <v>92.206521739130437</v>
      </c>
    </row>
    <row r="105" spans="1:12" ht="15" thickBot="1" x14ac:dyDescent="0.25">
      <c r="A105" s="30" t="s">
        <v>245</v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</row>
  </sheetData>
  <mergeCells count="24">
    <mergeCell ref="Y40:Z40"/>
    <mergeCell ref="Y41:Z41"/>
    <mergeCell ref="D82:D83"/>
    <mergeCell ref="Y31:Z31"/>
    <mergeCell ref="Y20:Z20"/>
    <mergeCell ref="Y35:Z35"/>
    <mergeCell ref="Y36:Z36"/>
    <mergeCell ref="L39:M39"/>
    <mergeCell ref="L40:M40"/>
    <mergeCell ref="L41:M41"/>
    <mergeCell ref="L42:M42"/>
    <mergeCell ref="D68:D69"/>
    <mergeCell ref="D70:D71"/>
    <mergeCell ref="D72:D73"/>
    <mergeCell ref="D78:D79"/>
    <mergeCell ref="D80:D81"/>
    <mergeCell ref="Y38:Z38"/>
    <mergeCell ref="Y39:Z39"/>
    <mergeCell ref="D102:D103"/>
    <mergeCell ref="D88:D89"/>
    <mergeCell ref="D90:D91"/>
    <mergeCell ref="D92:D93"/>
    <mergeCell ref="D98:D99"/>
    <mergeCell ref="D100:D10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9027-035E-4059-9977-FEF27A631CEA}">
  <dimension ref="A1"/>
  <sheetViews>
    <sheetView workbookViewId="0">
      <selection activeCell="D25" sqref="D25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749F-D5D1-4DB7-A3CD-7AEF20CF91CA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2019-09-22T06:00:52Z</dcterms:modified>
</cp:coreProperties>
</file>